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655" tabRatio="745"/>
  </bookViews>
  <sheets>
    <sheet name="汇总" sheetId="4" r:id="rId1"/>
    <sheet name="房屋建筑" sheetId="1" r:id="rId2"/>
    <sheet name="市政" sheetId="2" r:id="rId3"/>
    <sheet name="公路" sheetId="3" r:id="rId4"/>
    <sheet name="水利" sheetId="5" r:id="rId5"/>
    <sheet name="能源和其它" sheetId="6" r:id="rId6"/>
    <sheet name="项目预测记录" sheetId="7" r:id="rId7"/>
  </sheets>
  <definedNames>
    <definedName name="_xlnm._FilterDatabase" localSheetId="0" hidden="1">汇总!$A$1:$X$439</definedName>
    <definedName name="_xlnm._FilterDatabase" localSheetId="2" hidden="1">市政!$A$1:$X$83</definedName>
    <definedName name="_xlnm._FilterDatabase" localSheetId="3" hidden="1">公路!$A$1:$Y$225</definedName>
    <definedName name="_xlnm._FilterDatabase" localSheetId="4" hidden="1">水利!$A$1:$X$79</definedName>
    <definedName name="_xlnm._FilterDatabase" localSheetId="1" hidden="1">房屋建筑!$A$1:$X$44</definedName>
  </definedName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 name="ID_3A21167FE20244F68BDB5DDEBD3058E5"/>
        <xdr:cNvPicPr>
          <a:picLocks noChangeAspect="1"/>
        </xdr:cNvPicPr>
      </xdr:nvPicPr>
      <xdr:blipFill>
        <a:blip r:embed="rId1"/>
        <a:stretch>
          <a:fillRect/>
        </a:stretch>
      </xdr:blipFill>
      <xdr:spPr>
        <a:xfrm>
          <a:off x="16220440" y="171450"/>
          <a:ext cx="6534150" cy="9115425"/>
        </a:xfrm>
        <a:prstGeom prst="rect">
          <a:avLst/>
        </a:prstGeom>
        <a:noFill/>
        <a:ln w="9525">
          <a:noFill/>
        </a:ln>
      </xdr:spPr>
    </xdr:pic>
  </etc:cellImage>
  <etc:cellImage>
    <xdr:pic>
      <xdr:nvPicPr>
        <xdr:cNvPr id="9" name="ID_9A093A59680C4B9CBB1AA0192D7DFDC4"/>
        <xdr:cNvPicPr>
          <a:picLocks noChangeAspect="1"/>
        </xdr:cNvPicPr>
      </xdr:nvPicPr>
      <xdr:blipFill>
        <a:blip r:embed="rId2"/>
        <a:stretch>
          <a:fillRect/>
        </a:stretch>
      </xdr:blipFill>
      <xdr:spPr>
        <a:xfrm>
          <a:off x="16271240" y="2976880"/>
          <a:ext cx="5543550" cy="1447800"/>
        </a:xfrm>
        <a:prstGeom prst="rect">
          <a:avLst/>
        </a:prstGeom>
        <a:noFill/>
        <a:ln w="9525">
          <a:noFill/>
        </a:ln>
      </xdr:spPr>
    </xdr:pic>
  </etc:cellImage>
  <etc:cellImage>
    <xdr:pic>
      <xdr:nvPicPr>
        <xdr:cNvPr id="10" name="ID_18FCCD04C4334083B61DED274C4E5880"/>
        <xdr:cNvPicPr>
          <a:picLocks noChangeAspect="1"/>
        </xdr:cNvPicPr>
      </xdr:nvPicPr>
      <xdr:blipFill>
        <a:blip r:embed="rId3"/>
        <a:stretch>
          <a:fillRect/>
        </a:stretch>
      </xdr:blipFill>
      <xdr:spPr>
        <a:xfrm>
          <a:off x="16220440" y="6734810"/>
          <a:ext cx="6572250" cy="8620125"/>
        </a:xfrm>
        <a:prstGeom prst="rect">
          <a:avLst/>
        </a:prstGeom>
        <a:noFill/>
        <a:ln w="9525">
          <a:noFill/>
        </a:ln>
      </xdr:spPr>
    </xdr:pic>
  </etc:cellImage>
  <etc:cellImage>
    <xdr:pic>
      <xdr:nvPicPr>
        <xdr:cNvPr id="12" name="ID_DD9DF61BF27045EFA289D59F01C40E1A"/>
        <xdr:cNvPicPr>
          <a:picLocks noChangeAspect="1"/>
        </xdr:cNvPicPr>
      </xdr:nvPicPr>
      <xdr:blipFill>
        <a:blip r:embed="rId4"/>
        <a:stretch>
          <a:fillRect/>
        </a:stretch>
      </xdr:blipFill>
      <xdr:spPr>
        <a:xfrm>
          <a:off x="16220440" y="26206450"/>
          <a:ext cx="6534150" cy="8820150"/>
        </a:xfrm>
        <a:prstGeom prst="rect">
          <a:avLst/>
        </a:prstGeom>
        <a:noFill/>
        <a:ln w="9525">
          <a:noFill/>
        </a:ln>
      </xdr:spPr>
    </xdr:pic>
  </etc:cellImage>
  <etc:cellImage>
    <xdr:pic>
      <xdr:nvPicPr>
        <xdr:cNvPr id="13" name="ID_E5E595E28C1F4E35A7911A36D52C7A8B"/>
        <xdr:cNvPicPr>
          <a:picLocks noChangeAspect="1"/>
        </xdr:cNvPicPr>
      </xdr:nvPicPr>
      <xdr:blipFill>
        <a:blip r:embed="rId5"/>
        <a:stretch>
          <a:fillRect/>
        </a:stretch>
      </xdr:blipFill>
      <xdr:spPr>
        <a:xfrm>
          <a:off x="16220440" y="28921710"/>
          <a:ext cx="5048250" cy="4362450"/>
        </a:xfrm>
        <a:prstGeom prst="rect">
          <a:avLst/>
        </a:prstGeom>
        <a:noFill/>
        <a:ln w="9525">
          <a:noFill/>
        </a:ln>
      </xdr:spPr>
    </xdr:pic>
  </etc:cellImage>
  <etc:cellImage>
    <xdr:pic>
      <xdr:nvPicPr>
        <xdr:cNvPr id="14" name="ID_314B68A0415F43F985B023E0395B141C"/>
        <xdr:cNvPicPr>
          <a:picLocks noChangeAspect="1"/>
        </xdr:cNvPicPr>
      </xdr:nvPicPr>
      <xdr:blipFill>
        <a:blip r:embed="rId6"/>
        <a:stretch>
          <a:fillRect/>
        </a:stretch>
      </xdr:blipFill>
      <xdr:spPr>
        <a:xfrm>
          <a:off x="16220440" y="30670500"/>
          <a:ext cx="6657975" cy="11029950"/>
        </a:xfrm>
        <a:prstGeom prst="rect">
          <a:avLst/>
        </a:prstGeom>
        <a:noFill/>
        <a:ln w="9525">
          <a:noFill/>
        </a:ln>
      </xdr:spPr>
    </xdr:pic>
  </etc:cellImage>
  <etc:cellImage>
    <xdr:pic>
      <xdr:nvPicPr>
        <xdr:cNvPr id="15" name="ID_EE563D7C5E3E42438E4C67A657B12613"/>
        <xdr:cNvPicPr>
          <a:picLocks noChangeAspect="1"/>
        </xdr:cNvPicPr>
      </xdr:nvPicPr>
      <xdr:blipFill>
        <a:blip r:embed="rId7"/>
        <a:stretch>
          <a:fillRect/>
        </a:stretch>
      </xdr:blipFill>
      <xdr:spPr>
        <a:xfrm>
          <a:off x="16220440" y="33020000"/>
          <a:ext cx="6762750" cy="9134475"/>
        </a:xfrm>
        <a:prstGeom prst="rect">
          <a:avLst/>
        </a:prstGeom>
        <a:noFill/>
        <a:ln w="9525">
          <a:noFill/>
        </a:ln>
      </xdr:spPr>
    </xdr:pic>
  </etc:cellImage>
  <etc:cellImage>
    <xdr:pic>
      <xdr:nvPicPr>
        <xdr:cNvPr id="2" name="ID_2926C412A5F940B89B9AA176A13C9D59"/>
        <xdr:cNvPicPr>
          <a:picLocks noChangeAspect="1"/>
        </xdr:cNvPicPr>
      </xdr:nvPicPr>
      <xdr:blipFill>
        <a:blip r:embed="rId8"/>
        <a:stretch>
          <a:fillRect/>
        </a:stretch>
      </xdr:blipFill>
      <xdr:spPr>
        <a:xfrm>
          <a:off x="16220440" y="54229000"/>
          <a:ext cx="6553200" cy="8705850"/>
        </a:xfrm>
        <a:prstGeom prst="rect">
          <a:avLst/>
        </a:prstGeom>
        <a:noFill/>
        <a:ln w="9525">
          <a:noFill/>
        </a:ln>
      </xdr:spPr>
    </xdr:pic>
  </etc:cellImage>
  <etc:cellImage>
    <xdr:pic>
      <xdr:nvPicPr>
        <xdr:cNvPr id="3" name="ID_544CDD7781C04FFCBCEC3D98EB86447F"/>
        <xdr:cNvPicPr>
          <a:picLocks noChangeAspect="1"/>
        </xdr:cNvPicPr>
      </xdr:nvPicPr>
      <xdr:blipFill>
        <a:blip r:embed="rId9"/>
        <a:stretch>
          <a:fillRect/>
        </a:stretch>
      </xdr:blipFill>
      <xdr:spPr>
        <a:xfrm>
          <a:off x="17073880" y="55778400"/>
          <a:ext cx="7086600" cy="9124950"/>
        </a:xfrm>
        <a:prstGeom prst="rect">
          <a:avLst/>
        </a:prstGeom>
        <a:noFill/>
        <a:ln w="9525">
          <a:noFill/>
        </a:ln>
      </xdr:spPr>
    </xdr:pic>
  </etc:cellImage>
  <etc:cellImage>
    <xdr:pic>
      <xdr:nvPicPr>
        <xdr:cNvPr id="4" name="ID_BD8F4C1D7BBD4CDB8152C04DA54378C0"/>
        <xdr:cNvPicPr>
          <a:picLocks noChangeAspect="1"/>
        </xdr:cNvPicPr>
      </xdr:nvPicPr>
      <xdr:blipFill>
        <a:blip r:embed="rId10"/>
        <a:stretch>
          <a:fillRect/>
        </a:stretch>
      </xdr:blipFill>
      <xdr:spPr>
        <a:xfrm>
          <a:off x="17145000" y="10896600"/>
          <a:ext cx="6791325" cy="8524875"/>
        </a:xfrm>
        <a:prstGeom prst="rect">
          <a:avLst/>
        </a:prstGeom>
        <a:noFill/>
        <a:ln w="9525">
          <a:noFill/>
        </a:ln>
      </xdr:spPr>
    </xdr:pic>
  </etc:cellImage>
  <etc:cellImage>
    <xdr:pic>
      <xdr:nvPicPr>
        <xdr:cNvPr id="5" name="ID_A8CF580EBC2A49AE915DAA560CE19244"/>
        <xdr:cNvPicPr>
          <a:picLocks noChangeAspect="1"/>
        </xdr:cNvPicPr>
      </xdr:nvPicPr>
      <xdr:blipFill>
        <a:blip r:embed="rId11"/>
        <a:stretch>
          <a:fillRect/>
        </a:stretch>
      </xdr:blipFill>
      <xdr:spPr>
        <a:xfrm>
          <a:off x="16640175" y="3194050"/>
          <a:ext cx="5857875" cy="5724525"/>
        </a:xfrm>
        <a:prstGeom prst="rect">
          <a:avLst/>
        </a:prstGeom>
        <a:noFill/>
        <a:ln w="9525">
          <a:noFill/>
        </a:ln>
      </xdr:spPr>
    </xdr:pic>
  </etc:cellImage>
  <etc:cellImage>
    <xdr:pic>
      <xdr:nvPicPr>
        <xdr:cNvPr id="6" name="ID_9F2505351B1D46C5A2D1BF3040510394"/>
        <xdr:cNvPicPr>
          <a:picLocks noChangeAspect="1"/>
        </xdr:cNvPicPr>
      </xdr:nvPicPr>
      <xdr:blipFill>
        <a:blip r:embed="rId12"/>
        <a:stretch>
          <a:fillRect/>
        </a:stretch>
      </xdr:blipFill>
      <xdr:spPr>
        <a:xfrm>
          <a:off x="17145000" y="8201025"/>
          <a:ext cx="6372225" cy="11563350"/>
        </a:xfrm>
        <a:prstGeom prst="rect">
          <a:avLst/>
        </a:prstGeom>
        <a:noFill/>
        <a:ln w="9525">
          <a:noFill/>
        </a:ln>
      </xdr:spPr>
    </xdr:pic>
  </etc:cellImage>
  <etc:cellImage>
    <xdr:pic>
      <xdr:nvPicPr>
        <xdr:cNvPr id="16" name="ID_9BE6A68DE9864E859F85E2B55345DA88"/>
        <xdr:cNvPicPr>
          <a:picLocks noChangeAspect="1"/>
        </xdr:cNvPicPr>
      </xdr:nvPicPr>
      <xdr:blipFill>
        <a:blip r:embed="rId13"/>
        <a:stretch>
          <a:fillRect/>
        </a:stretch>
      </xdr:blipFill>
      <xdr:spPr>
        <a:xfrm>
          <a:off x="17145000" y="7261225"/>
          <a:ext cx="6924675" cy="11268075"/>
        </a:xfrm>
        <a:prstGeom prst="rect">
          <a:avLst/>
        </a:prstGeom>
        <a:noFill/>
        <a:ln w="9525">
          <a:noFill/>
        </a:ln>
      </xdr:spPr>
    </xdr:pic>
  </etc:cellImage>
  <etc:cellImage>
    <xdr:pic>
      <xdr:nvPicPr>
        <xdr:cNvPr id="17" name="ID_39A08211ED6A4076AB89912F4CD96E32"/>
        <xdr:cNvPicPr>
          <a:picLocks noChangeAspect="1"/>
        </xdr:cNvPicPr>
      </xdr:nvPicPr>
      <xdr:blipFill>
        <a:blip r:embed="rId14"/>
        <a:stretch>
          <a:fillRect/>
        </a:stretch>
      </xdr:blipFill>
      <xdr:spPr>
        <a:xfrm>
          <a:off x="16821150" y="2066925"/>
          <a:ext cx="6896100" cy="8582025"/>
        </a:xfrm>
        <a:prstGeom prst="rect">
          <a:avLst/>
        </a:prstGeom>
        <a:noFill/>
        <a:ln w="9525">
          <a:noFill/>
        </a:ln>
      </xdr:spPr>
    </xdr:pic>
  </etc:cellImage>
  <etc:cellImage>
    <xdr:pic>
      <xdr:nvPicPr>
        <xdr:cNvPr id="18" name="ID_51EA5BEA5DEB49359D5B5E2AADF051B3"/>
        <xdr:cNvPicPr>
          <a:picLocks noChangeAspect="1"/>
        </xdr:cNvPicPr>
      </xdr:nvPicPr>
      <xdr:blipFill>
        <a:blip r:embed="rId15"/>
        <a:stretch>
          <a:fillRect/>
        </a:stretch>
      </xdr:blipFill>
      <xdr:spPr>
        <a:xfrm>
          <a:off x="17154525" y="11553825"/>
          <a:ext cx="6905625" cy="8124825"/>
        </a:xfrm>
        <a:prstGeom prst="rect">
          <a:avLst/>
        </a:prstGeom>
        <a:noFill/>
        <a:ln w="9525">
          <a:noFill/>
        </a:ln>
      </xdr:spPr>
    </xdr:pic>
  </etc:cellImage>
  <etc:cellImage>
    <xdr:pic>
      <xdr:nvPicPr>
        <xdr:cNvPr id="19" name="ID_7C31CFCBD4024C9D8E33AE608439EFF5"/>
        <xdr:cNvPicPr>
          <a:picLocks noChangeAspect="1"/>
        </xdr:cNvPicPr>
      </xdr:nvPicPr>
      <xdr:blipFill>
        <a:blip r:embed="rId16"/>
        <a:stretch>
          <a:fillRect/>
        </a:stretch>
      </xdr:blipFill>
      <xdr:spPr>
        <a:xfrm>
          <a:off x="17145000" y="9779000"/>
          <a:ext cx="7019925" cy="11268075"/>
        </a:xfrm>
        <a:prstGeom prst="rect">
          <a:avLst/>
        </a:prstGeom>
        <a:noFill/>
        <a:ln w="9525">
          <a:noFill/>
        </a:ln>
      </xdr:spPr>
    </xdr:pic>
  </etc:cellImage>
  <etc:cellImage>
    <xdr:pic>
      <xdr:nvPicPr>
        <xdr:cNvPr id="20" name="ID_1DF05EEA850D409DBB028A80F964A10C"/>
        <xdr:cNvPicPr>
          <a:picLocks noChangeAspect="1"/>
        </xdr:cNvPicPr>
      </xdr:nvPicPr>
      <xdr:blipFill>
        <a:blip r:embed="rId17"/>
        <a:stretch>
          <a:fillRect/>
        </a:stretch>
      </xdr:blipFill>
      <xdr:spPr>
        <a:xfrm>
          <a:off x="17145000" y="7566025"/>
          <a:ext cx="6467475" cy="8848725"/>
        </a:xfrm>
        <a:prstGeom prst="rect">
          <a:avLst/>
        </a:prstGeom>
        <a:noFill/>
        <a:ln w="9525">
          <a:noFill/>
        </a:ln>
      </xdr:spPr>
    </xdr:pic>
  </etc:cellImage>
  <etc:cellImage>
    <xdr:pic>
      <xdr:nvPicPr>
        <xdr:cNvPr id="21" name="ID_34D46CC4D3A8432196B7323836722AC2"/>
        <xdr:cNvPicPr>
          <a:picLocks noChangeAspect="1"/>
        </xdr:cNvPicPr>
      </xdr:nvPicPr>
      <xdr:blipFill>
        <a:blip r:embed="rId18"/>
        <a:stretch>
          <a:fillRect/>
        </a:stretch>
      </xdr:blipFill>
      <xdr:spPr>
        <a:xfrm>
          <a:off x="17145000" y="12293600"/>
          <a:ext cx="6524625" cy="7591425"/>
        </a:xfrm>
        <a:prstGeom prst="rect">
          <a:avLst/>
        </a:prstGeom>
        <a:noFill/>
        <a:ln w="9525">
          <a:noFill/>
        </a:ln>
      </xdr:spPr>
    </xdr:pic>
  </etc:cellImage>
  <etc:cellImage>
    <xdr:pic>
      <xdr:nvPicPr>
        <xdr:cNvPr id="22" name="ID_07BB03D8552243449A0E21372BBBBEE9"/>
        <xdr:cNvPicPr>
          <a:picLocks noChangeAspect="1"/>
        </xdr:cNvPicPr>
      </xdr:nvPicPr>
      <xdr:blipFill>
        <a:blip r:embed="rId19"/>
        <a:stretch>
          <a:fillRect/>
        </a:stretch>
      </xdr:blipFill>
      <xdr:spPr>
        <a:xfrm>
          <a:off x="17145000" y="14249400"/>
          <a:ext cx="6772275" cy="10639425"/>
        </a:xfrm>
        <a:prstGeom prst="rect">
          <a:avLst/>
        </a:prstGeom>
        <a:noFill/>
        <a:ln w="9525">
          <a:noFill/>
        </a:ln>
      </xdr:spPr>
    </xdr:pic>
  </etc:cellImage>
  <etc:cellImage>
    <xdr:pic>
      <xdr:nvPicPr>
        <xdr:cNvPr id="23" name="ID_CCDC41B5250642C5966146B2774503D0"/>
        <xdr:cNvPicPr>
          <a:picLocks noChangeAspect="1"/>
        </xdr:cNvPicPr>
      </xdr:nvPicPr>
      <xdr:blipFill>
        <a:blip r:embed="rId20"/>
        <a:stretch>
          <a:fillRect/>
        </a:stretch>
      </xdr:blipFill>
      <xdr:spPr>
        <a:xfrm>
          <a:off x="17145000" y="14808200"/>
          <a:ext cx="6791325" cy="8420100"/>
        </a:xfrm>
        <a:prstGeom prst="rect">
          <a:avLst/>
        </a:prstGeom>
        <a:noFill/>
        <a:ln w="9525">
          <a:noFill/>
        </a:ln>
      </xdr:spPr>
    </xdr:pic>
  </etc:cellImage>
  <etc:cellImage>
    <xdr:pic>
      <xdr:nvPicPr>
        <xdr:cNvPr id="24" name="ID_71060FCE487848038DC296E7A5F8E2C6"/>
        <xdr:cNvPicPr>
          <a:picLocks noChangeAspect="1"/>
        </xdr:cNvPicPr>
      </xdr:nvPicPr>
      <xdr:blipFill>
        <a:blip r:embed="rId21"/>
        <a:stretch>
          <a:fillRect/>
        </a:stretch>
      </xdr:blipFill>
      <xdr:spPr>
        <a:xfrm>
          <a:off x="17145000" y="15367000"/>
          <a:ext cx="6515100" cy="8753475"/>
        </a:xfrm>
        <a:prstGeom prst="rect">
          <a:avLst/>
        </a:prstGeom>
        <a:noFill/>
        <a:ln w="9525">
          <a:noFill/>
        </a:ln>
      </xdr:spPr>
    </xdr:pic>
  </etc:cellImage>
  <etc:cellImage>
    <xdr:pic>
      <xdr:nvPicPr>
        <xdr:cNvPr id="25" name="ID_4067B32F0DBC473DA222972E1E440626"/>
        <xdr:cNvPicPr>
          <a:picLocks noChangeAspect="1"/>
        </xdr:cNvPicPr>
      </xdr:nvPicPr>
      <xdr:blipFill>
        <a:blip r:embed="rId22"/>
        <a:stretch>
          <a:fillRect/>
        </a:stretch>
      </xdr:blipFill>
      <xdr:spPr>
        <a:xfrm>
          <a:off x="17173575" y="15668625"/>
          <a:ext cx="6667500" cy="10258425"/>
        </a:xfrm>
        <a:prstGeom prst="rect">
          <a:avLst/>
        </a:prstGeom>
        <a:noFill/>
        <a:ln w="9525">
          <a:noFill/>
        </a:ln>
      </xdr:spPr>
    </xdr:pic>
  </etc:cellImage>
  <etc:cellImage>
    <xdr:pic>
      <xdr:nvPicPr>
        <xdr:cNvPr id="26" name="ID_CC1FF35B6F9E4D9AABBF3D2ED36DFA36"/>
        <xdr:cNvPicPr>
          <a:picLocks noChangeAspect="1"/>
        </xdr:cNvPicPr>
      </xdr:nvPicPr>
      <xdr:blipFill>
        <a:blip r:embed="rId23"/>
        <a:stretch>
          <a:fillRect/>
        </a:stretch>
      </xdr:blipFill>
      <xdr:spPr>
        <a:xfrm>
          <a:off x="17145000" y="15925800"/>
          <a:ext cx="4924425" cy="7162800"/>
        </a:xfrm>
        <a:prstGeom prst="rect">
          <a:avLst/>
        </a:prstGeom>
        <a:noFill/>
        <a:ln w="9525">
          <a:noFill/>
        </a:ln>
      </xdr:spPr>
    </xdr:pic>
  </etc:cellImage>
  <etc:cellImage>
    <xdr:pic>
      <xdr:nvPicPr>
        <xdr:cNvPr id="27" name="ID_FCAACE0111634F6B91743C89AC530D4B"/>
        <xdr:cNvPicPr>
          <a:picLocks noChangeAspect="1"/>
        </xdr:cNvPicPr>
      </xdr:nvPicPr>
      <xdr:blipFill>
        <a:blip r:embed="rId24"/>
        <a:stretch>
          <a:fillRect/>
        </a:stretch>
      </xdr:blipFill>
      <xdr:spPr>
        <a:xfrm>
          <a:off x="17145000" y="16205200"/>
          <a:ext cx="6638925" cy="8229600"/>
        </a:xfrm>
        <a:prstGeom prst="rect">
          <a:avLst/>
        </a:prstGeom>
        <a:noFill/>
        <a:ln w="9525">
          <a:noFill/>
        </a:ln>
      </xdr:spPr>
    </xdr:pic>
  </etc:cellImage>
  <etc:cellImage>
    <xdr:pic>
      <xdr:nvPicPr>
        <xdr:cNvPr id="28" name="ID_4ED1CC5E7338419EB4989F1DA9BF1396"/>
        <xdr:cNvPicPr>
          <a:picLocks noChangeAspect="1"/>
        </xdr:cNvPicPr>
      </xdr:nvPicPr>
      <xdr:blipFill>
        <a:blip r:embed="rId25"/>
        <a:stretch>
          <a:fillRect/>
        </a:stretch>
      </xdr:blipFill>
      <xdr:spPr>
        <a:xfrm>
          <a:off x="17145000" y="16484600"/>
          <a:ext cx="6619875" cy="8562975"/>
        </a:xfrm>
        <a:prstGeom prst="rect">
          <a:avLst/>
        </a:prstGeom>
        <a:noFill/>
        <a:ln w="9525">
          <a:noFill/>
        </a:ln>
      </xdr:spPr>
    </xdr:pic>
  </etc:cellImage>
  <etc:cellImage>
    <xdr:pic>
      <xdr:nvPicPr>
        <xdr:cNvPr id="29" name="ID_F84295CC4AC84E968F85C8C8274F4167"/>
        <xdr:cNvPicPr>
          <a:picLocks noChangeAspect="1"/>
        </xdr:cNvPicPr>
      </xdr:nvPicPr>
      <xdr:blipFill>
        <a:blip r:embed="rId26"/>
        <a:stretch>
          <a:fillRect/>
        </a:stretch>
      </xdr:blipFill>
      <xdr:spPr>
        <a:xfrm>
          <a:off x="17145000" y="16764000"/>
          <a:ext cx="6591300" cy="8448675"/>
        </a:xfrm>
        <a:prstGeom prst="rect">
          <a:avLst/>
        </a:prstGeom>
        <a:noFill/>
        <a:ln w="9525">
          <a:noFill/>
        </a:ln>
      </xdr:spPr>
    </xdr:pic>
  </etc:cellImage>
  <etc:cellImage>
    <xdr:pic>
      <xdr:nvPicPr>
        <xdr:cNvPr id="30" name="ID_290408AD989A4656B67A9AD53628F892"/>
        <xdr:cNvPicPr>
          <a:picLocks noChangeAspect="1"/>
        </xdr:cNvPicPr>
      </xdr:nvPicPr>
      <xdr:blipFill>
        <a:blip r:embed="rId27"/>
        <a:stretch>
          <a:fillRect/>
        </a:stretch>
      </xdr:blipFill>
      <xdr:spPr>
        <a:xfrm>
          <a:off x="17145000" y="17043400"/>
          <a:ext cx="7000875" cy="8286750"/>
        </a:xfrm>
        <a:prstGeom prst="rect">
          <a:avLst/>
        </a:prstGeom>
        <a:noFill/>
        <a:ln w="9525">
          <a:noFill/>
        </a:ln>
      </xdr:spPr>
    </xdr:pic>
  </etc:cellImage>
  <etc:cellImage>
    <xdr:pic>
      <xdr:nvPicPr>
        <xdr:cNvPr id="31" name="ID_20D913CC1B6341A5B521A2E70BA8B2C0"/>
        <xdr:cNvPicPr>
          <a:picLocks noChangeAspect="1"/>
        </xdr:cNvPicPr>
      </xdr:nvPicPr>
      <xdr:blipFill>
        <a:blip r:embed="rId28"/>
        <a:stretch>
          <a:fillRect/>
        </a:stretch>
      </xdr:blipFill>
      <xdr:spPr>
        <a:xfrm>
          <a:off x="17145000" y="17322800"/>
          <a:ext cx="4857750" cy="7086600"/>
        </a:xfrm>
        <a:prstGeom prst="rect">
          <a:avLst/>
        </a:prstGeom>
        <a:noFill/>
        <a:ln w="9525">
          <a:noFill/>
        </a:ln>
      </xdr:spPr>
    </xdr:pic>
  </etc:cellImage>
  <etc:cellImage>
    <xdr:pic>
      <xdr:nvPicPr>
        <xdr:cNvPr id="32" name="ID_AE5BB9ECD6EB490583AA877CB1D8DF81"/>
        <xdr:cNvPicPr>
          <a:picLocks noChangeAspect="1"/>
        </xdr:cNvPicPr>
      </xdr:nvPicPr>
      <xdr:blipFill>
        <a:blip r:embed="rId29"/>
        <a:stretch>
          <a:fillRect/>
        </a:stretch>
      </xdr:blipFill>
      <xdr:spPr>
        <a:xfrm>
          <a:off x="17145000" y="18999200"/>
          <a:ext cx="7029450" cy="8286750"/>
        </a:xfrm>
        <a:prstGeom prst="rect">
          <a:avLst/>
        </a:prstGeom>
        <a:noFill/>
        <a:ln w="9525">
          <a:noFill/>
        </a:ln>
      </xdr:spPr>
    </xdr:pic>
  </etc:cellImage>
  <etc:cellImage>
    <xdr:pic>
      <xdr:nvPicPr>
        <xdr:cNvPr id="33" name="ID_29D5F81D10D14FC2B2B80F370856F2DF"/>
        <xdr:cNvPicPr>
          <a:picLocks noChangeAspect="1"/>
        </xdr:cNvPicPr>
      </xdr:nvPicPr>
      <xdr:blipFill>
        <a:blip r:embed="rId30"/>
        <a:stretch>
          <a:fillRect/>
        </a:stretch>
      </xdr:blipFill>
      <xdr:spPr>
        <a:xfrm>
          <a:off x="17183100" y="19570700"/>
          <a:ext cx="6686550" cy="10172700"/>
        </a:xfrm>
        <a:prstGeom prst="rect">
          <a:avLst/>
        </a:prstGeom>
        <a:noFill/>
        <a:ln w="9525">
          <a:noFill/>
        </a:ln>
      </xdr:spPr>
    </xdr:pic>
  </etc:cellImage>
  <etc:cellImage>
    <xdr:pic>
      <xdr:nvPicPr>
        <xdr:cNvPr id="34" name="ID_9132625E802C4E6EA25445E2A0279791"/>
        <xdr:cNvPicPr>
          <a:picLocks noChangeAspect="1"/>
        </xdr:cNvPicPr>
      </xdr:nvPicPr>
      <xdr:blipFill>
        <a:blip r:embed="rId31"/>
        <a:stretch>
          <a:fillRect/>
        </a:stretch>
      </xdr:blipFill>
      <xdr:spPr>
        <a:xfrm>
          <a:off x="17145000" y="20955000"/>
          <a:ext cx="6638925" cy="8124825"/>
        </a:xfrm>
        <a:prstGeom prst="rect">
          <a:avLst/>
        </a:prstGeom>
        <a:noFill/>
        <a:ln w="9525">
          <a:noFill/>
        </a:ln>
      </xdr:spPr>
    </xdr:pic>
  </etc:cellImage>
  <etc:cellImage>
    <xdr:pic>
      <xdr:nvPicPr>
        <xdr:cNvPr id="35" name="ID_995273D54DAC4FB0A658266E8F0CD74B"/>
        <xdr:cNvPicPr>
          <a:picLocks noChangeAspect="1"/>
        </xdr:cNvPicPr>
      </xdr:nvPicPr>
      <xdr:blipFill>
        <a:blip r:embed="rId32"/>
        <a:stretch>
          <a:fillRect/>
        </a:stretch>
      </xdr:blipFill>
      <xdr:spPr>
        <a:xfrm>
          <a:off x="17145000" y="20675600"/>
          <a:ext cx="6515100" cy="8191500"/>
        </a:xfrm>
        <a:prstGeom prst="rect">
          <a:avLst/>
        </a:prstGeom>
        <a:noFill/>
        <a:ln w="9525">
          <a:noFill/>
        </a:ln>
      </xdr:spPr>
    </xdr:pic>
  </etc:cellImage>
  <etc:cellImage>
    <xdr:pic>
      <xdr:nvPicPr>
        <xdr:cNvPr id="36" name="ID_05B137B9A58A47DB8D3A48962F4AB579"/>
        <xdr:cNvPicPr>
          <a:picLocks noChangeAspect="1"/>
        </xdr:cNvPicPr>
      </xdr:nvPicPr>
      <xdr:blipFill>
        <a:blip r:embed="rId33"/>
        <a:stretch>
          <a:fillRect/>
        </a:stretch>
      </xdr:blipFill>
      <xdr:spPr>
        <a:xfrm>
          <a:off x="17145000" y="21234400"/>
          <a:ext cx="6896100" cy="8505825"/>
        </a:xfrm>
        <a:prstGeom prst="rect">
          <a:avLst/>
        </a:prstGeom>
        <a:noFill/>
        <a:ln w="9525">
          <a:noFill/>
        </a:ln>
      </xdr:spPr>
    </xdr:pic>
  </etc:cellImage>
  <etc:cellImage>
    <xdr:pic>
      <xdr:nvPicPr>
        <xdr:cNvPr id="37" name="ID_7440420982544900B6C7CD90F3E0F17F"/>
        <xdr:cNvPicPr>
          <a:picLocks noChangeAspect="1"/>
        </xdr:cNvPicPr>
      </xdr:nvPicPr>
      <xdr:blipFill>
        <a:blip r:embed="rId34"/>
        <a:stretch>
          <a:fillRect/>
        </a:stretch>
      </xdr:blipFill>
      <xdr:spPr>
        <a:xfrm>
          <a:off x="17145000" y="22352000"/>
          <a:ext cx="4000500" cy="8724900"/>
        </a:xfrm>
        <a:prstGeom prst="rect">
          <a:avLst/>
        </a:prstGeom>
        <a:noFill/>
        <a:ln w="9525">
          <a:noFill/>
        </a:ln>
      </xdr:spPr>
    </xdr:pic>
  </etc:cellImage>
  <etc:cellImage>
    <xdr:pic>
      <xdr:nvPicPr>
        <xdr:cNvPr id="38" name="ID_53926C45FAD7445A99C6151A38F98956"/>
        <xdr:cNvPicPr>
          <a:picLocks noChangeAspect="1"/>
        </xdr:cNvPicPr>
      </xdr:nvPicPr>
      <xdr:blipFill>
        <a:blip r:embed="rId35"/>
        <a:stretch>
          <a:fillRect/>
        </a:stretch>
      </xdr:blipFill>
      <xdr:spPr>
        <a:xfrm>
          <a:off x="17145000" y="22631400"/>
          <a:ext cx="6696075" cy="8648700"/>
        </a:xfrm>
        <a:prstGeom prst="rect">
          <a:avLst/>
        </a:prstGeom>
        <a:noFill/>
        <a:ln w="9525">
          <a:noFill/>
        </a:ln>
      </xdr:spPr>
    </xdr:pic>
  </etc:cellImage>
  <etc:cellImage>
    <xdr:pic>
      <xdr:nvPicPr>
        <xdr:cNvPr id="39" name="ID_D313F0814D2A4950B6928E38FC98FEA3"/>
        <xdr:cNvPicPr>
          <a:picLocks noChangeAspect="1"/>
        </xdr:cNvPicPr>
      </xdr:nvPicPr>
      <xdr:blipFill>
        <a:blip r:embed="rId36"/>
        <a:stretch>
          <a:fillRect/>
        </a:stretch>
      </xdr:blipFill>
      <xdr:spPr>
        <a:xfrm>
          <a:off x="17145000" y="22910800"/>
          <a:ext cx="3714750" cy="3305175"/>
        </a:xfrm>
        <a:prstGeom prst="rect">
          <a:avLst/>
        </a:prstGeom>
        <a:noFill/>
        <a:ln w="9525">
          <a:noFill/>
        </a:ln>
      </xdr:spPr>
    </xdr:pic>
  </etc:cellImage>
  <etc:cellImage>
    <xdr:pic>
      <xdr:nvPicPr>
        <xdr:cNvPr id="8" name="ID_8594350670894A83994259256103CCA3"/>
        <xdr:cNvPicPr>
          <a:picLocks noChangeAspect="1"/>
        </xdr:cNvPicPr>
      </xdr:nvPicPr>
      <xdr:blipFill>
        <a:blip r:embed="rId37"/>
        <a:stretch>
          <a:fillRect/>
        </a:stretch>
      </xdr:blipFill>
      <xdr:spPr>
        <a:xfrm>
          <a:off x="19059525" y="7038975"/>
          <a:ext cx="6457950" cy="8534400"/>
        </a:xfrm>
        <a:prstGeom prst="rect">
          <a:avLst/>
        </a:prstGeom>
        <a:noFill/>
        <a:ln w="9525">
          <a:noFill/>
        </a:ln>
      </xdr:spPr>
    </xdr:pic>
  </etc:cellImage>
  <etc:cellImage>
    <xdr:pic>
      <xdr:nvPicPr>
        <xdr:cNvPr id="41" name="ID_4DE79EEEAC6E4BB08EF88A1160DDB7BF"/>
        <xdr:cNvPicPr>
          <a:picLocks noChangeAspect="1"/>
        </xdr:cNvPicPr>
      </xdr:nvPicPr>
      <xdr:blipFill>
        <a:blip r:embed="rId38"/>
        <a:stretch>
          <a:fillRect/>
        </a:stretch>
      </xdr:blipFill>
      <xdr:spPr>
        <a:xfrm>
          <a:off x="18107025" y="6096000"/>
          <a:ext cx="6572250" cy="6162675"/>
        </a:xfrm>
        <a:prstGeom prst="rect">
          <a:avLst/>
        </a:prstGeom>
        <a:noFill/>
        <a:ln w="9525">
          <a:noFill/>
        </a:ln>
      </xdr:spPr>
    </xdr:pic>
  </etc:cellImage>
  <etc:cellImage>
    <xdr:pic>
      <xdr:nvPicPr>
        <xdr:cNvPr id="43" name="ID_D42B1560010B49D09E86F0EC256AB297"/>
        <xdr:cNvPicPr>
          <a:picLocks noChangeAspect="1"/>
        </xdr:cNvPicPr>
      </xdr:nvPicPr>
      <xdr:blipFill>
        <a:blip r:embed="rId39"/>
        <a:stretch>
          <a:fillRect/>
        </a:stretch>
      </xdr:blipFill>
      <xdr:spPr>
        <a:xfrm>
          <a:off x="18107025" y="6096000"/>
          <a:ext cx="8848725" cy="3009900"/>
        </a:xfrm>
        <a:prstGeom prst="rect">
          <a:avLst/>
        </a:prstGeom>
        <a:noFill/>
        <a:ln w="9525">
          <a:noFill/>
        </a:ln>
      </xdr:spPr>
    </xdr:pic>
  </etc:cellImage>
  <etc:cellImage>
    <xdr:pic>
      <xdr:nvPicPr>
        <xdr:cNvPr id="45" name="ID_B4679136F9BD41D5AC35E030E3588B67"/>
        <xdr:cNvPicPr>
          <a:picLocks noChangeAspect="1"/>
        </xdr:cNvPicPr>
      </xdr:nvPicPr>
      <xdr:blipFill>
        <a:blip r:embed="rId40"/>
        <a:stretch>
          <a:fillRect/>
        </a:stretch>
      </xdr:blipFill>
      <xdr:spPr>
        <a:xfrm>
          <a:off x="18107025" y="2743200"/>
          <a:ext cx="6505575" cy="3905250"/>
        </a:xfrm>
        <a:prstGeom prst="rect">
          <a:avLst/>
        </a:prstGeom>
        <a:noFill/>
        <a:ln w="9525">
          <a:noFill/>
        </a:ln>
      </xdr:spPr>
    </xdr:pic>
  </etc:cellImage>
  <etc:cellImage>
    <xdr:pic>
      <xdr:nvPicPr>
        <xdr:cNvPr id="46" name="ID_8649ECA4E17540E882DF6EEE649A5325"/>
        <xdr:cNvPicPr>
          <a:picLocks noChangeAspect="1"/>
        </xdr:cNvPicPr>
      </xdr:nvPicPr>
      <xdr:blipFill>
        <a:blip r:embed="rId41"/>
        <a:stretch>
          <a:fillRect/>
        </a:stretch>
      </xdr:blipFill>
      <xdr:spPr>
        <a:xfrm>
          <a:off x="18107025" y="2743200"/>
          <a:ext cx="6667500" cy="4114800"/>
        </a:xfrm>
        <a:prstGeom prst="rect">
          <a:avLst/>
        </a:prstGeom>
        <a:noFill/>
        <a:ln w="9525">
          <a:noFill/>
        </a:ln>
      </xdr:spPr>
    </xdr:pic>
  </etc:cellImage>
  <etc:cellImage>
    <xdr:pic>
      <xdr:nvPicPr>
        <xdr:cNvPr id="47" name="ID_8FD039A9F5734F3C895B89D2979FA087"/>
        <xdr:cNvPicPr>
          <a:picLocks noChangeAspect="1"/>
        </xdr:cNvPicPr>
      </xdr:nvPicPr>
      <xdr:blipFill>
        <a:blip r:embed="rId42"/>
        <a:stretch>
          <a:fillRect/>
        </a:stretch>
      </xdr:blipFill>
      <xdr:spPr>
        <a:xfrm>
          <a:off x="18107025" y="8229600"/>
          <a:ext cx="4438650" cy="7820025"/>
        </a:xfrm>
        <a:prstGeom prst="rect">
          <a:avLst/>
        </a:prstGeom>
        <a:noFill/>
        <a:ln w="9525">
          <a:noFill/>
        </a:ln>
      </xdr:spPr>
    </xdr:pic>
  </etc:cellImage>
  <etc:cellImage>
    <xdr:pic>
      <xdr:nvPicPr>
        <xdr:cNvPr id="48" name="ID_F9BF756C572443B38AAB6A0C5FAB6B3E"/>
        <xdr:cNvPicPr>
          <a:picLocks noChangeAspect="1"/>
        </xdr:cNvPicPr>
      </xdr:nvPicPr>
      <xdr:blipFill>
        <a:blip r:embed="rId43"/>
        <a:stretch>
          <a:fillRect/>
        </a:stretch>
      </xdr:blipFill>
      <xdr:spPr>
        <a:xfrm>
          <a:off x="18107025" y="7924800"/>
          <a:ext cx="3914775" cy="8886825"/>
        </a:xfrm>
        <a:prstGeom prst="rect">
          <a:avLst/>
        </a:prstGeom>
        <a:noFill/>
        <a:ln w="9525">
          <a:noFill/>
        </a:ln>
      </xdr:spPr>
    </xdr:pic>
  </etc:cellImage>
  <etc:cellImage>
    <xdr:pic>
      <xdr:nvPicPr>
        <xdr:cNvPr id="49" name="ID_B376D0B5325E489DA62C0D9C9AF66CF5"/>
        <xdr:cNvPicPr>
          <a:picLocks noChangeAspect="1"/>
        </xdr:cNvPicPr>
      </xdr:nvPicPr>
      <xdr:blipFill>
        <a:blip r:embed="rId44"/>
        <a:stretch>
          <a:fillRect/>
        </a:stretch>
      </xdr:blipFill>
      <xdr:spPr>
        <a:xfrm>
          <a:off x="21002625" y="3352800"/>
          <a:ext cx="3781425" cy="5791200"/>
        </a:xfrm>
        <a:prstGeom prst="rect">
          <a:avLst/>
        </a:prstGeom>
        <a:noFill/>
        <a:ln w="9525">
          <a:noFill/>
        </a:ln>
      </xdr:spPr>
    </xdr:pic>
  </etc:cellImage>
  <etc:cellImage>
    <xdr:pic>
      <xdr:nvPicPr>
        <xdr:cNvPr id="50" name="ID_E7B6C2B29CCA4B4D8B6DDB4E67A8393D"/>
        <xdr:cNvPicPr>
          <a:picLocks noChangeAspect="1"/>
        </xdr:cNvPicPr>
      </xdr:nvPicPr>
      <xdr:blipFill>
        <a:blip r:embed="rId45"/>
        <a:stretch>
          <a:fillRect/>
        </a:stretch>
      </xdr:blipFill>
      <xdr:spPr>
        <a:xfrm>
          <a:off x="18545175" y="4267200"/>
          <a:ext cx="6867525" cy="3533775"/>
        </a:xfrm>
        <a:prstGeom prst="rect">
          <a:avLst/>
        </a:prstGeom>
        <a:noFill/>
        <a:ln w="9525">
          <a:noFill/>
        </a:ln>
      </xdr:spPr>
    </xdr:pic>
  </etc:cellImage>
  <etc:cellImage>
    <xdr:pic>
      <xdr:nvPicPr>
        <xdr:cNvPr id="51" name="ID_5C1B5B8EA2164BF49185CA64500D4BE4"/>
        <xdr:cNvPicPr>
          <a:picLocks noChangeAspect="1"/>
        </xdr:cNvPicPr>
      </xdr:nvPicPr>
      <xdr:blipFill>
        <a:blip r:embed="rId46"/>
        <a:stretch>
          <a:fillRect/>
        </a:stretch>
      </xdr:blipFill>
      <xdr:spPr>
        <a:xfrm>
          <a:off x="16906875" y="266700"/>
          <a:ext cx="6296025" cy="11058525"/>
        </a:xfrm>
        <a:prstGeom prst="rect">
          <a:avLst/>
        </a:prstGeom>
        <a:noFill/>
        <a:ln w="9525">
          <a:noFill/>
        </a:ln>
      </xdr:spPr>
    </xdr:pic>
  </etc:cellImage>
  <etc:cellImage>
    <xdr:pic>
      <xdr:nvPicPr>
        <xdr:cNvPr id="11" name="ID_87ED0F4657E5454A80DCDDB38A3AE5EE"/>
        <xdr:cNvPicPr>
          <a:picLocks noChangeAspect="1"/>
        </xdr:cNvPicPr>
      </xdr:nvPicPr>
      <xdr:blipFill>
        <a:blip r:embed="rId47"/>
        <a:stretch>
          <a:fillRect/>
        </a:stretch>
      </xdr:blipFill>
      <xdr:spPr>
        <a:xfrm>
          <a:off x="17183100" y="1752600"/>
          <a:ext cx="4781550" cy="4400550"/>
        </a:xfrm>
        <a:prstGeom prst="rect">
          <a:avLst/>
        </a:prstGeom>
        <a:noFill/>
        <a:ln w="9525">
          <a:noFill/>
        </a:ln>
      </xdr:spPr>
    </xdr:pic>
  </etc:cellImage>
  <etc:cellImage>
    <xdr:pic>
      <xdr:nvPicPr>
        <xdr:cNvPr id="42" name="ID_1DE4FB44CB4540119B5BFE96902CB991"/>
        <xdr:cNvPicPr>
          <a:picLocks noChangeAspect="1"/>
        </xdr:cNvPicPr>
      </xdr:nvPicPr>
      <xdr:blipFill>
        <a:blip r:embed="rId48"/>
        <a:stretch>
          <a:fillRect/>
        </a:stretch>
      </xdr:blipFill>
      <xdr:spPr>
        <a:xfrm>
          <a:off x="17183100" y="2032000"/>
          <a:ext cx="5857875" cy="6496050"/>
        </a:xfrm>
        <a:prstGeom prst="rect">
          <a:avLst/>
        </a:prstGeom>
        <a:noFill/>
        <a:ln w="9525">
          <a:noFill/>
        </a:ln>
      </xdr:spPr>
    </xdr:pic>
  </etc:cellImage>
  <etc:cellImage>
    <xdr:pic>
      <xdr:nvPicPr>
        <xdr:cNvPr id="44" name="ID_C2B55CD9CA50489184D513F65D99F452"/>
        <xdr:cNvPicPr>
          <a:picLocks noChangeAspect="1"/>
        </xdr:cNvPicPr>
      </xdr:nvPicPr>
      <xdr:blipFill>
        <a:blip r:embed="rId49"/>
        <a:stretch>
          <a:fillRect/>
        </a:stretch>
      </xdr:blipFill>
      <xdr:spPr>
        <a:xfrm>
          <a:off x="15516225" y="3432175"/>
          <a:ext cx="6581775" cy="7734300"/>
        </a:xfrm>
        <a:prstGeom prst="rect">
          <a:avLst/>
        </a:prstGeom>
        <a:noFill/>
        <a:ln w="9525">
          <a:noFill/>
        </a:ln>
      </xdr:spPr>
    </xdr:pic>
  </etc:cellImage>
  <etc:cellImage>
    <xdr:pic>
      <xdr:nvPicPr>
        <xdr:cNvPr id="40" name="ID_A7C8554973CD403FAE9FF1334A4E7093"/>
        <xdr:cNvPicPr>
          <a:picLocks noChangeAspect="1"/>
        </xdr:cNvPicPr>
      </xdr:nvPicPr>
      <xdr:blipFill>
        <a:blip r:embed="rId50"/>
        <a:stretch>
          <a:fillRect/>
        </a:stretch>
      </xdr:blipFill>
      <xdr:spPr>
        <a:xfrm>
          <a:off x="15516225" y="5041900"/>
          <a:ext cx="6324600" cy="8429625"/>
        </a:xfrm>
        <a:prstGeom prst="rect">
          <a:avLst/>
        </a:prstGeom>
        <a:noFill/>
        <a:ln w="9525">
          <a:noFill/>
        </a:ln>
      </xdr:spPr>
    </xdr:pic>
  </etc:cellImage>
  <etc:cellImage>
    <xdr:pic>
      <xdr:nvPicPr>
        <xdr:cNvPr id="52" name="ID_209F34734E11484B9753758A911AC8EA"/>
        <xdr:cNvPicPr>
          <a:picLocks noChangeAspect="1"/>
        </xdr:cNvPicPr>
      </xdr:nvPicPr>
      <xdr:blipFill>
        <a:blip r:embed="rId51"/>
        <a:stretch>
          <a:fillRect/>
        </a:stretch>
      </xdr:blipFill>
      <xdr:spPr>
        <a:xfrm>
          <a:off x="16550640" y="5372100"/>
          <a:ext cx="6353175" cy="7372350"/>
        </a:xfrm>
        <a:prstGeom prst="rect">
          <a:avLst/>
        </a:prstGeom>
        <a:noFill/>
        <a:ln w="9525">
          <a:noFill/>
        </a:ln>
      </xdr:spPr>
    </xdr:pic>
  </etc:cellImage>
  <etc:cellImage>
    <xdr:pic>
      <xdr:nvPicPr>
        <xdr:cNvPr id="53" name="ID_B45AC5B0931F41358AA01BD5585B5788"/>
        <xdr:cNvPicPr>
          <a:picLocks noChangeAspect="1"/>
        </xdr:cNvPicPr>
      </xdr:nvPicPr>
      <xdr:blipFill>
        <a:blip r:embed="rId52"/>
        <a:stretch>
          <a:fillRect/>
        </a:stretch>
      </xdr:blipFill>
      <xdr:spPr>
        <a:xfrm>
          <a:off x="16550640" y="6032500"/>
          <a:ext cx="4657725" cy="15849600"/>
        </a:xfrm>
        <a:prstGeom prst="rect">
          <a:avLst/>
        </a:prstGeom>
        <a:noFill/>
        <a:ln w="9525">
          <a:noFill/>
        </a:ln>
      </xdr:spPr>
    </xdr:pic>
  </etc:cellImage>
  <etc:cellImage>
    <xdr:pic>
      <xdr:nvPicPr>
        <xdr:cNvPr id="54" name="ID_2DACADFC2A374D9D98B3AA95E02AEE14"/>
        <xdr:cNvPicPr>
          <a:picLocks noChangeAspect="1"/>
        </xdr:cNvPicPr>
      </xdr:nvPicPr>
      <xdr:blipFill>
        <a:blip r:embed="rId53"/>
        <a:stretch>
          <a:fillRect/>
        </a:stretch>
      </xdr:blipFill>
      <xdr:spPr>
        <a:xfrm>
          <a:off x="16550640" y="7404100"/>
          <a:ext cx="5124450" cy="8210550"/>
        </a:xfrm>
        <a:prstGeom prst="rect">
          <a:avLst/>
        </a:prstGeom>
        <a:noFill/>
        <a:ln w="9525">
          <a:noFill/>
        </a:ln>
      </xdr:spPr>
    </xdr:pic>
  </etc:cellImage>
  <etc:cellImage>
    <xdr:pic>
      <xdr:nvPicPr>
        <xdr:cNvPr id="55" name="ID_9527614B758949DE89AEA4F25528D872"/>
        <xdr:cNvPicPr>
          <a:picLocks noChangeAspect="1"/>
        </xdr:cNvPicPr>
      </xdr:nvPicPr>
      <xdr:blipFill>
        <a:blip r:embed="rId54"/>
        <a:stretch>
          <a:fillRect/>
        </a:stretch>
      </xdr:blipFill>
      <xdr:spPr>
        <a:xfrm>
          <a:off x="16550640" y="8547100"/>
          <a:ext cx="5048250" cy="6981825"/>
        </a:xfrm>
        <a:prstGeom prst="rect">
          <a:avLst/>
        </a:prstGeom>
        <a:noFill/>
        <a:ln w="9525">
          <a:noFill/>
        </a:ln>
      </xdr:spPr>
    </xdr:pic>
  </etc:cellImage>
  <etc:cellImage>
    <xdr:pic>
      <xdr:nvPicPr>
        <xdr:cNvPr id="56" name="ID_A5C5C48DA77F4825959FA26444F402F2"/>
        <xdr:cNvPicPr>
          <a:picLocks noChangeAspect="1"/>
        </xdr:cNvPicPr>
      </xdr:nvPicPr>
      <xdr:blipFill>
        <a:blip r:embed="rId55"/>
        <a:stretch>
          <a:fillRect/>
        </a:stretch>
      </xdr:blipFill>
      <xdr:spPr>
        <a:xfrm>
          <a:off x="16550640" y="8928100"/>
          <a:ext cx="5229225" cy="9925050"/>
        </a:xfrm>
        <a:prstGeom prst="rect">
          <a:avLst/>
        </a:prstGeom>
        <a:noFill/>
        <a:ln w="9525">
          <a:noFill/>
        </a:ln>
      </xdr:spPr>
    </xdr:pic>
  </etc:cellImage>
  <etc:cellImage>
    <xdr:pic>
      <xdr:nvPicPr>
        <xdr:cNvPr id="57" name="ID_340363A8EEB5492796805A1436126B6F"/>
        <xdr:cNvPicPr>
          <a:picLocks noChangeAspect="1"/>
        </xdr:cNvPicPr>
      </xdr:nvPicPr>
      <xdr:blipFill>
        <a:blip r:embed="rId56"/>
        <a:stretch>
          <a:fillRect/>
        </a:stretch>
      </xdr:blipFill>
      <xdr:spPr>
        <a:xfrm>
          <a:off x="16816705" y="15519400"/>
          <a:ext cx="6286500" cy="11677650"/>
        </a:xfrm>
        <a:prstGeom prst="rect">
          <a:avLst/>
        </a:prstGeom>
        <a:noFill/>
        <a:ln w="9525">
          <a:noFill/>
        </a:ln>
      </xdr:spPr>
    </xdr:pic>
  </etc:cellImage>
  <etc:cellImage>
    <xdr:pic>
      <xdr:nvPicPr>
        <xdr:cNvPr id="58" name="ID_DA525B631F12498FBD4C0447472A2F2C"/>
        <xdr:cNvPicPr>
          <a:picLocks noChangeAspect="1"/>
        </xdr:cNvPicPr>
      </xdr:nvPicPr>
      <xdr:blipFill>
        <a:blip r:embed="rId57"/>
        <a:stretch>
          <a:fillRect/>
        </a:stretch>
      </xdr:blipFill>
      <xdr:spPr>
        <a:xfrm>
          <a:off x="16816705" y="15849600"/>
          <a:ext cx="5010150" cy="5705475"/>
        </a:xfrm>
        <a:prstGeom prst="rect">
          <a:avLst/>
        </a:prstGeom>
        <a:noFill/>
        <a:ln w="9525">
          <a:noFill/>
        </a:ln>
      </xdr:spPr>
    </xdr:pic>
  </etc:cellImage>
  <etc:cellImage>
    <xdr:pic>
      <xdr:nvPicPr>
        <xdr:cNvPr id="59" name="ID_688F788D626549FDB0C5FF40CDC34B6E"/>
        <xdr:cNvPicPr>
          <a:picLocks noChangeAspect="1"/>
        </xdr:cNvPicPr>
      </xdr:nvPicPr>
      <xdr:blipFill>
        <a:blip r:embed="rId58"/>
        <a:stretch>
          <a:fillRect/>
        </a:stretch>
      </xdr:blipFill>
      <xdr:spPr>
        <a:xfrm>
          <a:off x="16816705" y="17170400"/>
          <a:ext cx="5210175" cy="4352925"/>
        </a:xfrm>
        <a:prstGeom prst="rect">
          <a:avLst/>
        </a:prstGeom>
        <a:noFill/>
        <a:ln w="9525">
          <a:noFill/>
        </a:ln>
      </xdr:spPr>
    </xdr:pic>
  </etc:cellImage>
  <etc:cellImage>
    <xdr:pic>
      <xdr:nvPicPr>
        <xdr:cNvPr id="60" name="ID_4EAD7450AB2C47E09A8A6BFF0FD5F2B4"/>
        <xdr:cNvPicPr>
          <a:picLocks noChangeAspect="1"/>
        </xdr:cNvPicPr>
      </xdr:nvPicPr>
      <xdr:blipFill>
        <a:blip r:embed="rId59"/>
        <a:stretch>
          <a:fillRect/>
        </a:stretch>
      </xdr:blipFill>
      <xdr:spPr>
        <a:xfrm>
          <a:off x="15581630" y="2311400"/>
          <a:ext cx="6362700" cy="6705600"/>
        </a:xfrm>
        <a:prstGeom prst="rect">
          <a:avLst/>
        </a:prstGeom>
        <a:noFill/>
        <a:ln w="9525">
          <a:noFill/>
        </a:ln>
      </xdr:spPr>
    </xdr:pic>
  </etc:cellImage>
  <etc:cellImage>
    <xdr:pic>
      <xdr:nvPicPr>
        <xdr:cNvPr id="61" name="ID_AE0769914C7045949C1A2334D1056090"/>
        <xdr:cNvPicPr>
          <a:picLocks noChangeAspect="1"/>
        </xdr:cNvPicPr>
      </xdr:nvPicPr>
      <xdr:blipFill>
        <a:blip r:embed="rId60"/>
        <a:stretch>
          <a:fillRect/>
        </a:stretch>
      </xdr:blipFill>
      <xdr:spPr>
        <a:xfrm>
          <a:off x="15943580" y="27736800"/>
          <a:ext cx="4600575" cy="6915150"/>
        </a:xfrm>
        <a:prstGeom prst="rect">
          <a:avLst/>
        </a:prstGeom>
        <a:noFill/>
        <a:ln w="9525">
          <a:noFill/>
        </a:ln>
      </xdr:spPr>
    </xdr:pic>
  </etc:cellImage>
  <etc:cellImage>
    <xdr:pic>
      <xdr:nvPicPr>
        <xdr:cNvPr id="62" name="ID_E6776FABE9904741995EC9430A1D9126"/>
        <xdr:cNvPicPr>
          <a:picLocks noChangeAspect="1"/>
        </xdr:cNvPicPr>
      </xdr:nvPicPr>
      <xdr:blipFill>
        <a:blip r:embed="rId61"/>
        <a:stretch>
          <a:fillRect/>
        </a:stretch>
      </xdr:blipFill>
      <xdr:spPr>
        <a:xfrm>
          <a:off x="16076930" y="28397200"/>
          <a:ext cx="5334000" cy="11801475"/>
        </a:xfrm>
        <a:prstGeom prst="rect">
          <a:avLst/>
        </a:prstGeom>
        <a:noFill/>
        <a:ln w="9525">
          <a:noFill/>
        </a:ln>
      </xdr:spPr>
    </xdr:pic>
  </etc:cellImage>
  <etc:cellImage>
    <xdr:pic>
      <xdr:nvPicPr>
        <xdr:cNvPr id="64" name="ID_7E30A0C72CA24E35A1D573081A7F242E"/>
        <xdr:cNvPicPr>
          <a:picLocks noChangeAspect="1"/>
        </xdr:cNvPicPr>
      </xdr:nvPicPr>
      <xdr:blipFill>
        <a:blip r:embed="rId62"/>
        <a:stretch>
          <a:fillRect/>
        </a:stretch>
      </xdr:blipFill>
      <xdr:spPr>
        <a:xfrm>
          <a:off x="16076930" y="3962400"/>
          <a:ext cx="6610350" cy="11811000"/>
        </a:xfrm>
        <a:prstGeom prst="rect">
          <a:avLst/>
        </a:prstGeom>
        <a:noFill/>
        <a:ln w="9525">
          <a:noFill/>
        </a:ln>
      </xdr:spPr>
    </xdr:pic>
  </etc:cellImage>
  <etc:cellImage>
    <xdr:pic>
      <xdr:nvPicPr>
        <xdr:cNvPr id="65" name="ID_AA4ECC37B202408595BE57BD61A10198"/>
        <xdr:cNvPicPr>
          <a:picLocks noChangeAspect="1"/>
        </xdr:cNvPicPr>
      </xdr:nvPicPr>
      <xdr:blipFill>
        <a:blip r:embed="rId63"/>
        <a:stretch>
          <a:fillRect/>
        </a:stretch>
      </xdr:blipFill>
      <xdr:spPr>
        <a:xfrm>
          <a:off x="16076930" y="36982400"/>
          <a:ext cx="5905500" cy="4724400"/>
        </a:xfrm>
        <a:prstGeom prst="rect">
          <a:avLst/>
        </a:prstGeom>
        <a:noFill/>
        <a:ln w="9525">
          <a:noFill/>
        </a:ln>
      </xdr:spPr>
    </xdr:pic>
  </etc:cellImage>
  <etc:cellImage>
    <xdr:pic>
      <xdr:nvPicPr>
        <xdr:cNvPr id="66" name="ID_2969D55973B641C5B49A0081ACEEAB48"/>
        <xdr:cNvPicPr>
          <a:picLocks noChangeAspect="1"/>
        </xdr:cNvPicPr>
      </xdr:nvPicPr>
      <xdr:blipFill>
        <a:blip r:embed="rId64"/>
        <a:stretch>
          <a:fillRect/>
        </a:stretch>
      </xdr:blipFill>
      <xdr:spPr>
        <a:xfrm>
          <a:off x="16076930" y="37312600"/>
          <a:ext cx="6438900" cy="7210425"/>
        </a:xfrm>
        <a:prstGeom prst="rect">
          <a:avLst/>
        </a:prstGeom>
        <a:noFill/>
        <a:ln w="9525">
          <a:noFill/>
        </a:ln>
      </xdr:spPr>
    </xdr:pic>
  </etc:cellImage>
  <etc:cellImage>
    <xdr:pic>
      <xdr:nvPicPr>
        <xdr:cNvPr id="67" name="ID_2E203B325B204945B1936C111C59F975"/>
        <xdr:cNvPicPr>
          <a:picLocks noChangeAspect="1"/>
        </xdr:cNvPicPr>
      </xdr:nvPicPr>
      <xdr:blipFill>
        <a:blip r:embed="rId65"/>
        <a:stretch>
          <a:fillRect/>
        </a:stretch>
      </xdr:blipFill>
      <xdr:spPr>
        <a:xfrm>
          <a:off x="15601315" y="40614600"/>
          <a:ext cx="6800850" cy="11449050"/>
        </a:xfrm>
        <a:prstGeom prst="rect">
          <a:avLst/>
        </a:prstGeom>
        <a:noFill/>
        <a:ln w="9525">
          <a:noFill/>
        </a:ln>
      </xdr:spPr>
    </xdr:pic>
  </etc:cellImage>
  <etc:cellImage>
    <xdr:pic>
      <xdr:nvPicPr>
        <xdr:cNvPr id="63" name="ID_DEAEB5C3F0934C78AB7B0A66184378A9"/>
        <xdr:cNvPicPr>
          <a:picLocks noChangeAspect="1"/>
        </xdr:cNvPicPr>
      </xdr:nvPicPr>
      <xdr:blipFill>
        <a:blip r:embed="rId66"/>
        <a:stretch>
          <a:fillRect/>
        </a:stretch>
      </xdr:blipFill>
      <xdr:spPr>
        <a:xfrm>
          <a:off x="15810865" y="42926000"/>
          <a:ext cx="6791325" cy="6677025"/>
        </a:xfrm>
        <a:prstGeom prst="rect">
          <a:avLst/>
        </a:prstGeom>
        <a:noFill/>
        <a:ln w="9525">
          <a:noFill/>
        </a:ln>
      </xdr:spPr>
    </xdr:pic>
  </etc:cellImage>
  <etc:cellImage>
    <xdr:pic>
      <xdr:nvPicPr>
        <xdr:cNvPr id="68" name="ID_CF70DF69B1DC4D25A3468EF30FEC08EF"/>
        <xdr:cNvPicPr>
          <a:picLocks noChangeAspect="1"/>
        </xdr:cNvPicPr>
      </xdr:nvPicPr>
      <xdr:blipFill>
        <a:blip r:embed="rId67"/>
        <a:stretch>
          <a:fillRect/>
        </a:stretch>
      </xdr:blipFill>
      <xdr:spPr>
        <a:xfrm>
          <a:off x="15810865" y="43586400"/>
          <a:ext cx="6762750" cy="8477250"/>
        </a:xfrm>
        <a:prstGeom prst="rect">
          <a:avLst/>
        </a:prstGeom>
        <a:noFill/>
        <a:ln w="9525">
          <a:noFill/>
        </a:ln>
      </xdr:spPr>
    </xdr:pic>
  </etc:cellImage>
  <etc:cellImage>
    <xdr:pic>
      <xdr:nvPicPr>
        <xdr:cNvPr id="69" name="ID_AB9CC0FC36584B33ABE1470B59C3303E"/>
        <xdr:cNvPicPr>
          <a:picLocks noChangeAspect="1"/>
        </xdr:cNvPicPr>
      </xdr:nvPicPr>
      <xdr:blipFill>
        <a:blip r:embed="rId68"/>
        <a:stretch>
          <a:fillRect/>
        </a:stretch>
      </xdr:blipFill>
      <xdr:spPr>
        <a:xfrm>
          <a:off x="15810865" y="46558200"/>
          <a:ext cx="6238875" cy="11544300"/>
        </a:xfrm>
        <a:prstGeom prst="rect">
          <a:avLst/>
        </a:prstGeom>
        <a:noFill/>
        <a:ln w="9525">
          <a:noFill/>
        </a:ln>
      </xdr:spPr>
    </xdr:pic>
  </etc:cellImage>
  <etc:cellImage>
    <xdr:pic>
      <xdr:nvPicPr>
        <xdr:cNvPr id="70" name="ID_F2746A9E2B164F388A2E739D7AABEDEA"/>
        <xdr:cNvPicPr>
          <a:picLocks noChangeAspect="1"/>
        </xdr:cNvPicPr>
      </xdr:nvPicPr>
      <xdr:blipFill>
        <a:blip r:embed="rId69"/>
        <a:stretch>
          <a:fillRect/>
        </a:stretch>
      </xdr:blipFill>
      <xdr:spPr>
        <a:xfrm>
          <a:off x="15810865" y="48539400"/>
          <a:ext cx="5029200" cy="11534775"/>
        </a:xfrm>
        <a:prstGeom prst="rect">
          <a:avLst/>
        </a:prstGeom>
        <a:noFill/>
        <a:ln w="9525">
          <a:noFill/>
        </a:ln>
      </xdr:spPr>
    </xdr:pic>
  </etc:cellImage>
  <etc:cellImage>
    <xdr:pic>
      <xdr:nvPicPr>
        <xdr:cNvPr id="71" name="ID_856A5E68FBD44477803E98F6A3556521"/>
        <xdr:cNvPicPr>
          <a:picLocks noChangeAspect="1"/>
        </xdr:cNvPicPr>
      </xdr:nvPicPr>
      <xdr:blipFill>
        <a:blip r:embed="rId70"/>
        <a:stretch>
          <a:fillRect/>
        </a:stretch>
      </xdr:blipFill>
      <xdr:spPr>
        <a:xfrm>
          <a:off x="15810865" y="55473600"/>
          <a:ext cx="5591175" cy="11706225"/>
        </a:xfrm>
        <a:prstGeom prst="rect">
          <a:avLst/>
        </a:prstGeom>
        <a:noFill/>
        <a:ln w="9525">
          <a:noFill/>
        </a:ln>
      </xdr:spPr>
    </xdr:pic>
  </etc:cellImage>
  <etc:cellImage>
    <xdr:pic>
      <xdr:nvPicPr>
        <xdr:cNvPr id="72" name="ID_997FAAA4B2494459B426DFD71A0C311E"/>
        <xdr:cNvPicPr>
          <a:picLocks noChangeAspect="1"/>
        </xdr:cNvPicPr>
      </xdr:nvPicPr>
      <xdr:blipFill>
        <a:blip r:embed="rId71"/>
        <a:stretch>
          <a:fillRect/>
        </a:stretch>
      </xdr:blipFill>
      <xdr:spPr>
        <a:xfrm>
          <a:off x="17840325" y="304800"/>
          <a:ext cx="6296025" cy="11544300"/>
        </a:xfrm>
        <a:prstGeom prst="rect">
          <a:avLst/>
        </a:prstGeom>
        <a:noFill/>
        <a:ln w="9525">
          <a:noFill/>
        </a:ln>
      </xdr:spPr>
    </xdr:pic>
  </etc:cellImage>
  <etc:cellImage>
    <xdr:pic>
      <xdr:nvPicPr>
        <xdr:cNvPr id="73" name="ID_2075DED061DC483A94E38AC7E8DD6DB4"/>
        <xdr:cNvPicPr>
          <a:picLocks noChangeAspect="1"/>
        </xdr:cNvPicPr>
      </xdr:nvPicPr>
      <xdr:blipFill>
        <a:blip r:embed="rId72"/>
        <a:stretch>
          <a:fillRect/>
        </a:stretch>
      </xdr:blipFill>
      <xdr:spPr>
        <a:xfrm>
          <a:off x="17049750" y="609600"/>
          <a:ext cx="6667500" cy="11506200"/>
        </a:xfrm>
        <a:prstGeom prst="rect">
          <a:avLst/>
        </a:prstGeom>
        <a:noFill/>
        <a:ln w="9525">
          <a:noFill/>
        </a:ln>
      </xdr:spPr>
    </xdr:pic>
  </etc:cellImage>
  <etc:cellImage>
    <xdr:pic>
      <xdr:nvPicPr>
        <xdr:cNvPr id="74" name="ID_04911115B04F40D28BF0BCE92D4AA82B"/>
        <xdr:cNvPicPr>
          <a:picLocks noChangeAspect="1"/>
        </xdr:cNvPicPr>
      </xdr:nvPicPr>
      <xdr:blipFill>
        <a:blip r:embed="rId73"/>
        <a:stretch>
          <a:fillRect/>
        </a:stretch>
      </xdr:blipFill>
      <xdr:spPr>
        <a:xfrm>
          <a:off x="14832330" y="1524000"/>
          <a:ext cx="6276975" cy="8505825"/>
        </a:xfrm>
        <a:prstGeom prst="rect">
          <a:avLst/>
        </a:prstGeom>
        <a:noFill/>
        <a:ln w="9525">
          <a:noFill/>
        </a:ln>
      </xdr:spPr>
    </xdr:pic>
  </etc:cellImage>
  <etc:cellImage>
    <xdr:pic>
      <xdr:nvPicPr>
        <xdr:cNvPr id="75" name="ID_AE8DB1D0E07F4A4687CDBE6608B76358"/>
        <xdr:cNvPicPr>
          <a:picLocks noChangeAspect="1"/>
        </xdr:cNvPicPr>
      </xdr:nvPicPr>
      <xdr:blipFill>
        <a:blip r:embed="rId74"/>
        <a:stretch>
          <a:fillRect/>
        </a:stretch>
      </xdr:blipFill>
      <xdr:spPr>
        <a:xfrm>
          <a:off x="15273020" y="5181600"/>
          <a:ext cx="6610350" cy="8867775"/>
        </a:xfrm>
        <a:prstGeom prst="rect">
          <a:avLst/>
        </a:prstGeom>
        <a:noFill/>
        <a:ln w="9525">
          <a:noFill/>
        </a:ln>
      </xdr:spPr>
    </xdr:pic>
  </etc:cellImage>
  <etc:cellImage>
    <xdr:pic>
      <xdr:nvPicPr>
        <xdr:cNvPr id="76" name="ID_C8E10289BF754CA8AF0D60A0AE6B3660"/>
        <xdr:cNvPicPr>
          <a:picLocks noChangeAspect="1"/>
        </xdr:cNvPicPr>
      </xdr:nvPicPr>
      <xdr:blipFill>
        <a:blip r:embed="rId75"/>
        <a:stretch>
          <a:fillRect/>
        </a:stretch>
      </xdr:blipFill>
      <xdr:spPr>
        <a:xfrm>
          <a:off x="15273020" y="5486400"/>
          <a:ext cx="6400800" cy="9382125"/>
        </a:xfrm>
        <a:prstGeom prst="rect">
          <a:avLst/>
        </a:prstGeom>
        <a:noFill/>
        <a:ln w="9525">
          <a:noFill/>
        </a:ln>
      </xdr:spPr>
    </xdr:pic>
  </etc:cellImage>
  <etc:cellImage>
    <xdr:pic>
      <xdr:nvPicPr>
        <xdr:cNvPr id="77" name="ID_5BE089F644E8421593CEA11BFE5C5CC8"/>
        <xdr:cNvPicPr>
          <a:picLocks noChangeAspect="1"/>
        </xdr:cNvPicPr>
      </xdr:nvPicPr>
      <xdr:blipFill>
        <a:blip r:embed="rId76"/>
        <a:stretch>
          <a:fillRect/>
        </a:stretch>
      </xdr:blipFill>
      <xdr:spPr>
        <a:xfrm>
          <a:off x="15273020" y="7633970"/>
          <a:ext cx="6191250" cy="8839200"/>
        </a:xfrm>
        <a:prstGeom prst="rect">
          <a:avLst/>
        </a:prstGeom>
        <a:noFill/>
        <a:ln w="9525">
          <a:noFill/>
        </a:ln>
      </xdr:spPr>
    </xdr:pic>
  </etc:cellImage>
  <etc:cellImage>
    <xdr:pic>
      <xdr:nvPicPr>
        <xdr:cNvPr id="78" name="ID_8B35092E738D4FEEADF54236235FBA16"/>
        <xdr:cNvPicPr>
          <a:picLocks noChangeAspect="1"/>
        </xdr:cNvPicPr>
      </xdr:nvPicPr>
      <xdr:blipFill>
        <a:blip r:embed="rId77"/>
        <a:stretch>
          <a:fillRect/>
        </a:stretch>
      </xdr:blipFill>
      <xdr:spPr>
        <a:xfrm>
          <a:off x="15273020" y="9055100"/>
          <a:ext cx="6619875" cy="8734425"/>
        </a:xfrm>
        <a:prstGeom prst="rect">
          <a:avLst/>
        </a:prstGeom>
        <a:noFill/>
        <a:ln w="9525">
          <a:noFill/>
        </a:ln>
      </xdr:spPr>
    </xdr:pic>
  </etc:cellImage>
  <etc:cellImage>
    <xdr:pic>
      <xdr:nvPicPr>
        <xdr:cNvPr id="79" name="ID_4B3DF2AEEE564887924D22897D259763"/>
        <xdr:cNvPicPr>
          <a:picLocks noChangeAspect="1"/>
        </xdr:cNvPicPr>
      </xdr:nvPicPr>
      <xdr:blipFill>
        <a:blip r:embed="rId78"/>
        <a:stretch>
          <a:fillRect/>
        </a:stretch>
      </xdr:blipFill>
      <xdr:spPr>
        <a:xfrm>
          <a:off x="15273020" y="11417300"/>
          <a:ext cx="6315075" cy="6848475"/>
        </a:xfrm>
        <a:prstGeom prst="rect">
          <a:avLst/>
        </a:prstGeom>
        <a:noFill/>
        <a:ln w="9525">
          <a:noFill/>
        </a:ln>
      </xdr:spPr>
    </xdr:pic>
  </etc:cellImage>
  <etc:cellImage>
    <xdr:pic>
      <xdr:nvPicPr>
        <xdr:cNvPr id="80" name="ID_9568186C25914BEEA8D1D31958AD2816"/>
        <xdr:cNvPicPr>
          <a:picLocks noChangeAspect="1"/>
        </xdr:cNvPicPr>
      </xdr:nvPicPr>
      <xdr:blipFill>
        <a:blip r:embed="rId79"/>
        <a:stretch>
          <a:fillRect/>
        </a:stretch>
      </xdr:blipFill>
      <xdr:spPr>
        <a:xfrm>
          <a:off x="15796895" y="12204700"/>
          <a:ext cx="6581775" cy="11315700"/>
        </a:xfrm>
        <a:prstGeom prst="rect">
          <a:avLst/>
        </a:prstGeom>
        <a:noFill/>
        <a:ln w="9525">
          <a:noFill/>
        </a:ln>
      </xdr:spPr>
    </xdr:pic>
  </etc:cellImage>
  <etc:cellImage>
    <xdr:pic>
      <xdr:nvPicPr>
        <xdr:cNvPr id="81" name="ID_C9547E7DF0AE4C3C9C86064B6746D9B9"/>
        <xdr:cNvPicPr>
          <a:picLocks noChangeAspect="1"/>
        </xdr:cNvPicPr>
      </xdr:nvPicPr>
      <xdr:blipFill>
        <a:blip r:embed="rId80"/>
        <a:stretch>
          <a:fillRect/>
        </a:stretch>
      </xdr:blipFill>
      <xdr:spPr>
        <a:xfrm>
          <a:off x="15796895" y="13385800"/>
          <a:ext cx="6505575" cy="7677150"/>
        </a:xfrm>
        <a:prstGeom prst="rect">
          <a:avLst/>
        </a:prstGeom>
        <a:noFill/>
        <a:ln w="9525">
          <a:noFill/>
        </a:ln>
      </xdr:spPr>
    </xdr:pic>
  </etc:cellImage>
  <etc:cellImage>
    <xdr:pic>
      <xdr:nvPicPr>
        <xdr:cNvPr id="82" name="ID_ABE4F101910E4DB9A51FFD1D3CFD0491"/>
        <xdr:cNvPicPr>
          <a:picLocks noChangeAspect="1"/>
        </xdr:cNvPicPr>
      </xdr:nvPicPr>
      <xdr:blipFill>
        <a:blip r:embed="rId81"/>
        <a:stretch>
          <a:fillRect/>
        </a:stretch>
      </xdr:blipFill>
      <xdr:spPr>
        <a:xfrm>
          <a:off x="15796895" y="14173200"/>
          <a:ext cx="7115175" cy="8686800"/>
        </a:xfrm>
        <a:prstGeom prst="rect">
          <a:avLst/>
        </a:prstGeom>
        <a:noFill/>
        <a:ln w="9525">
          <a:noFill/>
        </a:ln>
      </xdr:spPr>
    </xdr:pic>
  </etc:cellImage>
  <etc:cellImage>
    <xdr:pic>
      <xdr:nvPicPr>
        <xdr:cNvPr id="83" name="ID_D8F0F25F5E9C4095BF1F2A46256D89E5"/>
        <xdr:cNvPicPr>
          <a:picLocks noChangeAspect="1"/>
        </xdr:cNvPicPr>
      </xdr:nvPicPr>
      <xdr:blipFill>
        <a:blip r:embed="rId82"/>
        <a:stretch>
          <a:fillRect/>
        </a:stretch>
      </xdr:blipFill>
      <xdr:spPr>
        <a:xfrm>
          <a:off x="15968345" y="15354300"/>
          <a:ext cx="6600825" cy="8553450"/>
        </a:xfrm>
        <a:prstGeom prst="rect">
          <a:avLst/>
        </a:prstGeom>
        <a:noFill/>
        <a:ln w="9525">
          <a:noFill/>
        </a:ln>
      </xdr:spPr>
    </xdr:pic>
  </etc:cellImage>
  <etc:cellImage>
    <xdr:pic>
      <xdr:nvPicPr>
        <xdr:cNvPr id="84" name="ID_AF2D56D0B0614954AC556C641DE1E1AB"/>
        <xdr:cNvPicPr>
          <a:picLocks noChangeAspect="1"/>
        </xdr:cNvPicPr>
      </xdr:nvPicPr>
      <xdr:blipFill>
        <a:blip r:embed="rId83"/>
        <a:stretch>
          <a:fillRect/>
        </a:stretch>
      </xdr:blipFill>
      <xdr:spPr>
        <a:xfrm>
          <a:off x="15968345" y="15748000"/>
          <a:ext cx="7048500" cy="8858250"/>
        </a:xfrm>
        <a:prstGeom prst="rect">
          <a:avLst/>
        </a:prstGeom>
        <a:noFill/>
        <a:ln w="9525">
          <a:noFill/>
        </a:ln>
      </xdr:spPr>
    </xdr:pic>
  </etc:cellImage>
  <etc:cellImage>
    <xdr:pic>
      <xdr:nvPicPr>
        <xdr:cNvPr id="85" name="ID_91259612580E46CD984CF7BF9131F10C"/>
        <xdr:cNvPicPr>
          <a:picLocks noChangeAspect="1"/>
        </xdr:cNvPicPr>
      </xdr:nvPicPr>
      <xdr:blipFill>
        <a:blip r:embed="rId84"/>
        <a:stretch>
          <a:fillRect/>
        </a:stretch>
      </xdr:blipFill>
      <xdr:spPr>
        <a:xfrm>
          <a:off x="15968345" y="16141700"/>
          <a:ext cx="6657975" cy="8753475"/>
        </a:xfrm>
        <a:prstGeom prst="rect">
          <a:avLst/>
        </a:prstGeom>
        <a:noFill/>
        <a:ln w="9525">
          <a:noFill/>
        </a:ln>
      </xdr:spPr>
    </xdr:pic>
  </etc:cellImage>
  <etc:cellImage>
    <xdr:pic>
      <xdr:nvPicPr>
        <xdr:cNvPr id="86" name="ID_9D905B3F3C0647F3990274F37391156C"/>
        <xdr:cNvPicPr>
          <a:picLocks noChangeAspect="1"/>
        </xdr:cNvPicPr>
      </xdr:nvPicPr>
      <xdr:blipFill>
        <a:blip r:embed="rId85"/>
        <a:stretch>
          <a:fillRect/>
        </a:stretch>
      </xdr:blipFill>
      <xdr:spPr>
        <a:xfrm>
          <a:off x="15968345" y="17322800"/>
          <a:ext cx="6067425" cy="8143875"/>
        </a:xfrm>
        <a:prstGeom prst="rect">
          <a:avLst/>
        </a:prstGeom>
        <a:noFill/>
        <a:ln w="9525">
          <a:noFill/>
        </a:ln>
      </xdr:spPr>
    </xdr:pic>
  </etc:cellImage>
  <etc:cellImage>
    <xdr:pic>
      <xdr:nvPicPr>
        <xdr:cNvPr id="87" name="ID_551AB00842DD4707AE7EFED2FE04BA86"/>
        <xdr:cNvPicPr>
          <a:picLocks noChangeAspect="1"/>
        </xdr:cNvPicPr>
      </xdr:nvPicPr>
      <xdr:blipFill>
        <a:blip r:embed="rId86"/>
        <a:stretch>
          <a:fillRect/>
        </a:stretch>
      </xdr:blipFill>
      <xdr:spPr>
        <a:xfrm>
          <a:off x="15968345" y="17716500"/>
          <a:ext cx="6400800" cy="8505825"/>
        </a:xfrm>
        <a:prstGeom prst="rect">
          <a:avLst/>
        </a:prstGeom>
        <a:noFill/>
        <a:ln w="9525">
          <a:noFill/>
        </a:ln>
      </xdr:spPr>
    </xdr:pic>
  </etc:cellImage>
  <etc:cellImage>
    <xdr:pic>
      <xdr:nvPicPr>
        <xdr:cNvPr id="88" name="ID_7CFD3D00FB5F4930830C4CD282BB90A8"/>
        <xdr:cNvPicPr>
          <a:picLocks noChangeAspect="1"/>
        </xdr:cNvPicPr>
      </xdr:nvPicPr>
      <xdr:blipFill>
        <a:blip r:embed="rId87"/>
        <a:stretch>
          <a:fillRect/>
        </a:stretch>
      </xdr:blipFill>
      <xdr:spPr>
        <a:xfrm>
          <a:off x="15968345" y="18897600"/>
          <a:ext cx="6429375" cy="8086725"/>
        </a:xfrm>
        <a:prstGeom prst="rect">
          <a:avLst/>
        </a:prstGeom>
        <a:noFill/>
        <a:ln w="9525">
          <a:noFill/>
        </a:ln>
      </xdr:spPr>
    </xdr:pic>
  </etc:cellImage>
  <etc:cellImage>
    <xdr:pic>
      <xdr:nvPicPr>
        <xdr:cNvPr id="89" name="ID_78D091679EC1484B9B58638A575F8F94"/>
        <xdr:cNvPicPr>
          <a:picLocks noChangeAspect="1"/>
        </xdr:cNvPicPr>
      </xdr:nvPicPr>
      <xdr:blipFill>
        <a:blip r:embed="rId88"/>
        <a:stretch>
          <a:fillRect/>
        </a:stretch>
      </xdr:blipFill>
      <xdr:spPr>
        <a:xfrm>
          <a:off x="15968345" y="20472400"/>
          <a:ext cx="6619875" cy="8410575"/>
        </a:xfrm>
        <a:prstGeom prst="rect">
          <a:avLst/>
        </a:prstGeom>
        <a:noFill/>
        <a:ln w="9525">
          <a:noFill/>
        </a:ln>
      </xdr:spPr>
    </xdr:pic>
  </etc:cellImage>
  <etc:cellImage>
    <xdr:pic>
      <xdr:nvPicPr>
        <xdr:cNvPr id="90" name="ID_D707B0B32DEF47918A05A95B928615A0"/>
        <xdr:cNvPicPr>
          <a:picLocks noChangeAspect="1"/>
        </xdr:cNvPicPr>
      </xdr:nvPicPr>
      <xdr:blipFill>
        <a:blip r:embed="rId89"/>
        <a:stretch>
          <a:fillRect/>
        </a:stretch>
      </xdr:blipFill>
      <xdr:spPr>
        <a:xfrm>
          <a:off x="15982950" y="22477730"/>
          <a:ext cx="6524625" cy="8858250"/>
        </a:xfrm>
        <a:prstGeom prst="rect">
          <a:avLst/>
        </a:prstGeom>
        <a:noFill/>
        <a:ln w="9525">
          <a:noFill/>
        </a:ln>
      </xdr:spPr>
    </xdr:pic>
  </etc:cellImage>
  <etc:cellImage>
    <xdr:pic>
      <xdr:nvPicPr>
        <xdr:cNvPr id="91" name="ID_FFF8C7284D774ED28F329725866D2CC2"/>
        <xdr:cNvPicPr>
          <a:picLocks noChangeAspect="1"/>
        </xdr:cNvPicPr>
      </xdr:nvPicPr>
      <xdr:blipFill>
        <a:blip r:embed="rId90"/>
        <a:stretch>
          <a:fillRect/>
        </a:stretch>
      </xdr:blipFill>
      <xdr:spPr>
        <a:xfrm>
          <a:off x="15968345" y="23228300"/>
          <a:ext cx="6562725" cy="8477250"/>
        </a:xfrm>
        <a:prstGeom prst="rect">
          <a:avLst/>
        </a:prstGeom>
        <a:noFill/>
        <a:ln w="9525">
          <a:noFill/>
        </a:ln>
      </xdr:spPr>
    </xdr:pic>
  </etc:cellImage>
  <etc:cellImage>
    <xdr:pic>
      <xdr:nvPicPr>
        <xdr:cNvPr id="92" name="ID_33FBDAE6BE0B44BD91F51F49110207B3"/>
        <xdr:cNvPicPr>
          <a:picLocks noChangeAspect="1"/>
        </xdr:cNvPicPr>
      </xdr:nvPicPr>
      <xdr:blipFill>
        <a:blip r:embed="rId91"/>
        <a:stretch>
          <a:fillRect/>
        </a:stretch>
      </xdr:blipFill>
      <xdr:spPr>
        <a:xfrm>
          <a:off x="16501110" y="27761565"/>
          <a:ext cx="6400800" cy="8391525"/>
        </a:xfrm>
        <a:prstGeom prst="rect">
          <a:avLst/>
        </a:prstGeom>
        <a:noFill/>
        <a:ln w="9525">
          <a:noFill/>
        </a:ln>
      </xdr:spPr>
    </xdr:pic>
  </etc:cellImage>
  <etc:cellImage>
    <xdr:pic>
      <xdr:nvPicPr>
        <xdr:cNvPr id="93" name="ID_506DF0493A674FEBAC140F76A6276F0F"/>
        <xdr:cNvPicPr>
          <a:picLocks noChangeAspect="1"/>
        </xdr:cNvPicPr>
      </xdr:nvPicPr>
      <xdr:blipFill>
        <a:blip r:embed="rId92"/>
        <a:stretch>
          <a:fillRect/>
        </a:stretch>
      </xdr:blipFill>
      <xdr:spPr>
        <a:xfrm>
          <a:off x="16461740" y="27952700"/>
          <a:ext cx="6800850" cy="8601075"/>
        </a:xfrm>
        <a:prstGeom prst="rect">
          <a:avLst/>
        </a:prstGeom>
        <a:noFill/>
        <a:ln w="9525">
          <a:noFill/>
        </a:ln>
      </xdr:spPr>
    </xdr:pic>
  </etc:cellImage>
  <etc:cellImage>
    <xdr:pic>
      <xdr:nvPicPr>
        <xdr:cNvPr id="94" name="ID_4D38827BD4E4438785BD8FD3EDAAB318"/>
        <xdr:cNvPicPr>
          <a:picLocks noChangeAspect="1"/>
        </xdr:cNvPicPr>
      </xdr:nvPicPr>
      <xdr:blipFill>
        <a:blip r:embed="rId93"/>
        <a:stretch>
          <a:fillRect/>
        </a:stretch>
      </xdr:blipFill>
      <xdr:spPr>
        <a:xfrm>
          <a:off x="16461740" y="30314900"/>
          <a:ext cx="6172200" cy="8724900"/>
        </a:xfrm>
        <a:prstGeom prst="rect">
          <a:avLst/>
        </a:prstGeom>
        <a:noFill/>
        <a:ln w="9525">
          <a:noFill/>
        </a:ln>
      </xdr:spPr>
    </xdr:pic>
  </etc:cellImage>
  <etc:cellImage>
    <xdr:pic>
      <xdr:nvPicPr>
        <xdr:cNvPr id="95" name="ID_C873D48870844938AC932FB38EF1BB68"/>
        <xdr:cNvPicPr>
          <a:picLocks noChangeAspect="1"/>
        </xdr:cNvPicPr>
      </xdr:nvPicPr>
      <xdr:blipFill>
        <a:blip r:embed="rId94"/>
        <a:stretch>
          <a:fillRect/>
        </a:stretch>
      </xdr:blipFill>
      <xdr:spPr>
        <a:xfrm>
          <a:off x="16744950" y="406400"/>
          <a:ext cx="4943475" cy="5543550"/>
        </a:xfrm>
        <a:prstGeom prst="rect">
          <a:avLst/>
        </a:prstGeom>
        <a:noFill/>
        <a:ln w="9525">
          <a:noFill/>
        </a:ln>
      </xdr:spPr>
    </xdr:pic>
  </etc:cellImage>
  <etc:cellImage>
    <xdr:pic>
      <xdr:nvPicPr>
        <xdr:cNvPr id="96" name="ID_2C36102094EB4083932A5E2537DBDB03"/>
        <xdr:cNvPicPr>
          <a:picLocks noChangeAspect="1"/>
        </xdr:cNvPicPr>
      </xdr:nvPicPr>
      <xdr:blipFill>
        <a:blip r:embed="rId95"/>
        <a:stretch>
          <a:fillRect/>
        </a:stretch>
      </xdr:blipFill>
      <xdr:spPr>
        <a:xfrm>
          <a:off x="16802100" y="1301750"/>
          <a:ext cx="6115050" cy="6762750"/>
        </a:xfrm>
        <a:prstGeom prst="rect">
          <a:avLst/>
        </a:prstGeom>
        <a:noFill/>
        <a:ln w="9525">
          <a:noFill/>
        </a:ln>
      </xdr:spPr>
    </xdr:pic>
  </etc:cellImage>
  <etc:cellImage>
    <xdr:pic>
      <xdr:nvPicPr>
        <xdr:cNvPr id="97" name="ID_A398695467604F77ACD637C7998A50CF"/>
        <xdr:cNvPicPr>
          <a:picLocks noChangeAspect="1"/>
        </xdr:cNvPicPr>
      </xdr:nvPicPr>
      <xdr:blipFill>
        <a:blip r:embed="rId96"/>
        <a:stretch>
          <a:fillRect/>
        </a:stretch>
      </xdr:blipFill>
      <xdr:spPr>
        <a:xfrm>
          <a:off x="16744950" y="1625600"/>
          <a:ext cx="6419850" cy="7010400"/>
        </a:xfrm>
        <a:prstGeom prst="rect">
          <a:avLst/>
        </a:prstGeom>
        <a:noFill/>
        <a:ln w="9525">
          <a:noFill/>
        </a:ln>
      </xdr:spPr>
    </xdr:pic>
  </etc:cellImage>
  <etc:cellImage>
    <xdr:pic>
      <xdr:nvPicPr>
        <xdr:cNvPr id="98" name="ID_CE8A86EF0C0C4322ABF13441A2BBB1D7"/>
        <xdr:cNvPicPr>
          <a:picLocks noChangeAspect="1"/>
        </xdr:cNvPicPr>
      </xdr:nvPicPr>
      <xdr:blipFill>
        <a:blip r:embed="rId97"/>
        <a:stretch>
          <a:fillRect/>
        </a:stretch>
      </xdr:blipFill>
      <xdr:spPr>
        <a:xfrm>
          <a:off x="16744950" y="2438400"/>
          <a:ext cx="5495925" cy="5715000"/>
        </a:xfrm>
        <a:prstGeom prst="rect">
          <a:avLst/>
        </a:prstGeom>
        <a:noFill/>
        <a:ln w="9525">
          <a:noFill/>
        </a:ln>
      </xdr:spPr>
    </xdr:pic>
  </etc:cellImage>
  <etc:cellImage>
    <xdr:pic>
      <xdr:nvPicPr>
        <xdr:cNvPr id="99" name="ID_25596935548746A69B07B75A8BC0A991"/>
        <xdr:cNvPicPr>
          <a:picLocks noChangeAspect="1"/>
        </xdr:cNvPicPr>
      </xdr:nvPicPr>
      <xdr:blipFill>
        <a:blip r:embed="rId98"/>
        <a:stretch>
          <a:fillRect/>
        </a:stretch>
      </xdr:blipFill>
      <xdr:spPr>
        <a:xfrm>
          <a:off x="21678900" y="132588000"/>
          <a:ext cx="6419850" cy="8858250"/>
        </a:xfrm>
        <a:prstGeom prst="rect">
          <a:avLst/>
        </a:prstGeom>
        <a:noFill/>
        <a:ln w="9525">
          <a:noFill/>
        </a:ln>
      </xdr:spPr>
    </xdr:pic>
  </etc:cellImage>
</etc:cellImages>
</file>

<file path=xl/sharedStrings.xml><?xml version="1.0" encoding="utf-8"?>
<sst xmlns="http://schemas.openxmlformats.org/spreadsheetml/2006/main" count="4135" uniqueCount="1722">
  <si>
    <t>XMMC</t>
  </si>
  <si>
    <t>zbkzj</t>
  </si>
  <si>
    <t>kbjj</t>
  </si>
  <si>
    <t>k1</t>
  </si>
  <si>
    <t>k2</t>
  </si>
  <si>
    <t>投标报价均值</t>
  </si>
  <si>
    <t>抽取报价下浮率均值</t>
  </si>
  <si>
    <t>中标金额</t>
  </si>
  <si>
    <t>下浮率</t>
  </si>
  <si>
    <t>人工预测结果</t>
  </si>
  <si>
    <t>预测下浮</t>
  </si>
  <si>
    <t>开标时间</t>
  </si>
  <si>
    <t>投标人数</t>
  </si>
  <si>
    <t>group</t>
  </si>
  <si>
    <t>x1</t>
  </si>
  <si>
    <t>x2</t>
  </si>
  <si>
    <t>x3</t>
  </si>
  <si>
    <t>m</t>
  </si>
  <si>
    <t>url</t>
  </si>
  <si>
    <t>评标办法截图</t>
  </si>
  <si>
    <t>取值范围</t>
  </si>
  <si>
    <t>project_type</t>
  </si>
  <si>
    <t>规模内容</t>
  </si>
  <si>
    <t>备注</t>
  </si>
  <si>
    <t>青阳县城区供水扩容建设项目城南水厂扩建构筑物工程</t>
  </si>
  <si>
    <t>https://ggj.chizhou.gov.cn/front/bidcontent/9005001004/7cb3898959644f8a8a2b55d4f608376c</t>
  </si>
  <si>
    <t>98-102</t>
  </si>
  <si>
    <t>东部新城雨污水管网和人行道改造及绿化提升一期工程(生态路、康庄路、殷汇路路面改造工程)</t>
  </si>
  <si>
    <t>https://ggj.chizhou.gov.cn/front/bidcontent/9005001004/7833d1771fc1401794b4fbb592bae93c</t>
  </si>
  <si>
    <t>市政公用工程施工总承包</t>
  </si>
  <si>
    <r>
      <rPr>
        <sz val="10.5"/>
        <color rgb="FF333333"/>
        <rFont val="宋体"/>
        <charset val="134"/>
      </rPr>
      <t>路面改造工程</t>
    </r>
  </si>
  <si>
    <t>平天湖水环境整治工程-平天湖生态湿地修复二期-B包</t>
  </si>
  <si>
    <t>https://ggj.chizhou.gov.cn/front/bidcontent/9005001004/db387280c584483eb0b6b889c1789819</t>
  </si>
  <si>
    <r>
      <rPr>
        <sz val="10.5"/>
        <color rgb="FF333333"/>
        <rFont val="宋体"/>
        <charset val="134"/>
      </rPr>
      <t>水环境整治工程</t>
    </r>
  </si>
  <si>
    <t>池州市老港区长江岸线生态修复工程-秋浦河滨水绿道工程</t>
  </si>
  <si>
    <t>https://ggj.chizhou.gov.cn/front/bidcontent/9005001004/c86e956e9d2e4a1999cc42cd73f3c6d2</t>
  </si>
  <si>
    <r>
      <rPr>
        <sz val="10.5"/>
        <color rgb="FF333333"/>
        <rFont val="宋体"/>
        <charset val="134"/>
      </rPr>
      <t>绿道工程</t>
    </r>
  </si>
  <si>
    <t>青阳县七星河丁圩堤防加固工程</t>
  </si>
  <si>
    <t>https://ggj.chizhou.gov.cn/front/bidcontent/9005001004/273fc07b2e8f48488bfa34defb7b9ca7</t>
  </si>
  <si>
    <t>报价区间：0.81-1，k:0.1，0.2，0.3</t>
  </si>
  <si>
    <t>水利水电工程施工总承包</t>
  </si>
  <si>
    <t>建设内容：为堤身加固长3.55km，多头小直径水泥土搅拌桩防渗长0.43km，抛石固脚1.10km，联锁块护坡长0.65km，防汛道路长3.7km，拆除重建圬工涵3座，拆除重建抗旱站1座等</t>
  </si>
  <si>
    <t>池州市老港区长江岸线生态修复工程-刘婆矶桥建设工程（第二次）</t>
  </si>
  <si>
    <t>https://ggj.chizhou.gov.cn/front/bidcontent/9005001004/a78c6f6e2e0c41ddb54da8935e9f9332</t>
  </si>
  <si>
    <t>桥梁、道路、排水、交通、绿化、路灯及管线综合等工程，桥梁工程，特别复杂工程</t>
  </si>
  <si>
    <t>池州市城市公交站牌及候车亭新建项目</t>
  </si>
  <si>
    <t>https://ggj.chizhou.gov.cn/front/bidcontent/9005001004/da86ab0707a64463a8777fc60c4c8107</t>
  </si>
  <si>
    <r>
      <rPr>
        <sz val="10.5"/>
        <color rgb="FF333333"/>
        <rFont val="宋体"/>
        <charset val="134"/>
      </rPr>
      <t>候车亭234个点位，494组候车亭（一个灯箱为一组）；210个常规站牌；63个钢制站牌；不锈钢坐凳及路面拆除及恢复</t>
    </r>
  </si>
  <si>
    <t>池州市老港区长江岸线生态修复工程-东湖北路桥入口景观工程</t>
  </si>
  <si>
    <t>https://ggj.chizhou.gov.cn/front/bidcontent/9005001004/a74fb539ab8e46c983efd8e1081782a0</t>
  </si>
  <si>
    <r>
      <rPr>
        <sz val="10.5"/>
        <color rgb="FF333333"/>
        <rFont val="宋体"/>
        <charset val="134"/>
      </rPr>
      <t>项目地块内道路、建筑、场地、绿化、排水等内容</t>
    </r>
  </si>
  <si>
    <t>青阳县九子大道绿化提升工程</t>
  </si>
  <si>
    <t>https://ggj.chizhou.gov.cn/front/bidcontent/9005001004/cc231260ec9a4651b9152c1e3846e449</t>
  </si>
  <si>
    <r>
      <rPr>
        <sz val="10.5"/>
        <color rgb="FF333333"/>
        <rFont val="宋体"/>
        <charset val="134"/>
      </rPr>
      <t>栽植银杏、香樟、樱花和海棠等植物，绿化建设面积约4.2万平方米</t>
    </r>
  </si>
  <si>
    <t>石台县东山河小流域水土保持综合治理工程</t>
  </si>
  <si>
    <t>https://ggj.chizhou.gov.cn/front/bidcontent/9005001004/f978278fe8ba435abaf65564c0756ff2</t>
  </si>
  <si>
    <r>
      <rPr>
        <u/>
        <sz val="10.5"/>
        <color rgb="FF333333"/>
        <rFont val="宋体"/>
        <charset val="134"/>
      </rPr>
      <t>包括排水沟、挡墙护岸、堰坝、沿河步道等村庄人居环境改善措施等,</t>
    </r>
  </si>
  <si>
    <t>2021年度主城区干道（沿街）建筑外墙脱落维修工程（III标段）</t>
  </si>
  <si>
    <t>https://ggj.chizhou.gov.cn/front/bidcontent/9005001004/2db52aea0854418db4bcb5dc91ab0fc2</t>
  </si>
  <si>
    <t>建筑工程施工总承包</t>
  </si>
  <si>
    <t>秋浦街道（翠柏南路，湖心路）外墙面铲除及外运、清洗砂纸打磨、水泥砂浆找平层、满铺钢丝网、防水砂浆、外墙二遍腻子二遍乳胶漆面层。</t>
  </si>
  <si>
    <t>2021年度主城区干道（沿街）建筑外墙脱落维修工程（I标段）</t>
  </si>
  <si>
    <t>https://ggj.chizhou.gov.cn/front/bidcontent/9005001004/7c1e0c49248f4da4ab72f5935cc0baee</t>
  </si>
  <si>
    <t>包括池阳街道（秀山，兴济，南苑，皖和，毛巾厂，城西小学后门，清风商业）外墙面铲除及外运、清洗砂纸打磨、水泥砂浆找平层、满铺钢丝网、防水砂浆、外墙二遍腻子二遍乳胶漆面层。</t>
  </si>
  <si>
    <t>2021年度主城区干道（沿街）建筑外墙脱落维修工程（II标段）</t>
  </si>
  <si>
    <t>https://ggj.chizhou.gov.cn/front/bidcontent/9005001004/46a02058103a42f28f6c4f1b937874b8</t>
  </si>
  <si>
    <t>杏花村街道（书香名邸，明月苑，金池路）外墙面铲除及外运、清洗砂纸打磨、水泥砂浆找平层、满铺钢丝网、防水砂浆、外墙二遍腻子二遍乳胶漆面层。</t>
  </si>
  <si>
    <t>2021年度主城区干道（沿街）建筑外墙脱落维修工程（IV标段）</t>
  </si>
  <si>
    <t>https://ggj.chizhou.gov.cn/front/bidcontent/9005001004/a2e625a901014d3bab3037628949c2d4</t>
  </si>
  <si>
    <t>清风街道（城市华庭）外墙面铲除及外运、清洗砂纸打磨、水泥砂浆找平层、满铺钢丝网、防水砂浆、外墙二遍腻子二遍乳胶漆面层。</t>
  </si>
  <si>
    <t>池州大道渠良好水体保护与修复工程（二标段）</t>
  </si>
  <si>
    <t>https://ggj.chizhou.gov.cn/front/bidcontent/9005001004/2ba78673c8f5458a8617ecfb7022e945</t>
  </si>
  <si>
    <t>工程内容包括清淤、联锁护坡、固脚、压顶等工程内容</t>
  </si>
  <si>
    <t>东至县重点山洪沟大源河防洪治理工程</t>
  </si>
  <si>
    <t>https://ggj.chizhou.gov.cn/front/bidcontent/9005001004/d24aff76b6be4b4898eb800bd51f4735</t>
  </si>
  <si>
    <t>河道疏浚范围为全段疏浚，总长4.86km；桩号1+155.0-桩号1+475.0段左岸新建挡墙固脚+预制块护坡长330m；桩号1+665.3-桩号1+900.5段左岸新建挡墙固脚+预制块护坡长230m；桩号2+108.8-桩号2+385.5段左岸新建挡墙护岸长270m；桩号2+385.5-桩号2+797.1段左岸老堤加固长440m；桩号3+209.5-桩号4+652.9段左岸老堤加固长1450m；桩号0+921.2-桩号1+219.5段右岸新建挡墙固脚+预制块护坡长290m；桩号1+475.0-桩号2+260.5段右岸老堤加固长790m、桩号2+260.5-桩号2+797.1段右岸新建挡墙固脚+预制块护坡，本次施工长度为200m；桩号3+209.5-山体段右岸老堤加固长180m；梅树堰维修加固；孔村溢流堰拆除重建</t>
  </si>
  <si>
    <t>九华山环境提升工程（柯村新区环道人行道提升工程）</t>
  </si>
  <si>
    <t>https://ggj.chizhou.gov.cn/front/bidcontent/9005001004/c0c21a477fcb4f5a824887810ea4e4e2</t>
  </si>
  <si>
    <t>九华山环境提升工程（柯村新区环道人行道提升工程）全路段路灯、人行道、路牙石更换、树池石更换、行道树补栽、沥青摊铺、检查井及雨水口的新建及提升加固、HDPE波纹管铺设、交通标志牌安装等</t>
  </si>
  <si>
    <t>安徽百强科技有限公司一期项目二标段</t>
  </si>
  <si>
    <t>https://ggj.chizhou.gov.cn/front/bidcontent/9005001004/c32177561adc40b3a4137be4c5ae8b8c</t>
  </si>
  <si>
    <t>98-102-</t>
  </si>
  <si>
    <t>房屋建筑工程施工总承包</t>
  </si>
  <si>
    <t>1#工务中心、门卫、控制室+消防泵房+消防水池（地下）、油槽、一期范围内厂区道路、篮球场、停车场、整个厂区围墙、绿化等附属工程</t>
  </si>
  <si>
    <t>东至县舜城新区省示范高中项目外墙保温专业分包工程一标段</t>
  </si>
  <si>
    <t>https://ggj.chizhou.gov.cn/front/bidcontent/9005001004/4b3764d071b04cd78bbab00188fdaa10</t>
  </si>
  <si>
    <t>防水防腐保温工程</t>
  </si>
  <si>
    <r>
      <rPr>
        <sz val="12"/>
        <color rgb="FF333333"/>
        <rFont val="宋体"/>
        <charset val="134"/>
      </rPr>
      <t>综合楼、教学楼等外墙保温工程面积约为</t>
    </r>
    <r>
      <rPr>
        <b/>
        <sz val="11.25"/>
        <color rgb="FF333333"/>
        <rFont val="宋体"/>
        <charset val="134"/>
      </rPr>
      <t> 37343.26</t>
    </r>
    <r>
      <rPr>
        <sz val="11.25"/>
        <color rgb="FF333333"/>
        <rFont val="宋体"/>
        <charset val="134"/>
      </rPr>
      <t> ㎡</t>
    </r>
  </si>
  <si>
    <t>东至县舜城新区省示范高中项目外墙保温专业分包工程二标段</t>
  </si>
  <si>
    <t>https://ggj.chizhou.gov.cn/front/bidcontent/9005001004/c937e1cd1cda4c618a16ecb123958e06</t>
  </si>
  <si>
    <r>
      <rPr>
        <sz val="12"/>
        <color rgb="FF333333"/>
        <rFont val="宋体"/>
        <charset val="134"/>
      </rPr>
      <t>实验楼、食堂、北大门、宿舍1-6#楼等外墙保温工程面积约为 </t>
    </r>
    <r>
      <rPr>
        <b/>
        <sz val="11.25"/>
        <color rgb="FF333333"/>
        <rFont val="宋体"/>
        <charset val="134"/>
      </rPr>
      <t>44834.06</t>
    </r>
    <r>
      <rPr>
        <sz val="11.25"/>
        <color rgb="FF333333"/>
        <rFont val="宋体"/>
        <charset val="134"/>
      </rPr>
      <t>  ㎡</t>
    </r>
  </si>
  <si>
    <t>安徽百强科技有限公司一期项目一标段</t>
  </si>
  <si>
    <t>https://ggj.chizhou.gov.cn/front/bidcontent/9005001004/55cbceaf6b844882aa045582fd5e2099</t>
  </si>
  <si>
    <t>1#厂房建设</t>
  </si>
  <si>
    <t>利用德国促进贷款池州-杏花村生物多样性保护和发展项目监理</t>
  </si>
  <si>
    <t>https://ggj.chizhou.gov.cn/front/bidcontent/9005001004/62fc6715057046179cbf1c2e3cabac19</t>
  </si>
  <si>
    <t>均值</t>
  </si>
  <si>
    <t>市政公用工程监理和房屋建筑工程监理</t>
  </si>
  <si>
    <t>主要含建筑工程、市政工程和水土保持监测的监理；本项目为施工全过程监理，包括施工阶段的质量、进度、费用控制和安全、合同、信息管理以及组织协调等监理服务，缺陷责任期的监理服务</t>
  </si>
  <si>
    <t>科居新材料科技有限公司10kV线路工程（第二次）</t>
  </si>
  <si>
    <t>https://ggj.chizhou.gov.cn/front/bidcontent/9005001004/87b5c88f76014486844bcaa003695a40</t>
  </si>
  <si>
    <t>电力工程施工总承包</t>
  </si>
  <si>
    <t>电缆敷设、管道敷设、设备安装及电缆井砌筑等</t>
  </si>
  <si>
    <t>池州市东至县龙泉镇中心学校本部小学教学楼及教辅用房等校安工程项目(教学楼及教辅用房)</t>
  </si>
  <si>
    <t>https://ggj.chizhou.gov.cn/front/bidcontent/9005001004/c87d4321a4c147858457c873faf2e4d3</t>
  </si>
  <si>
    <t>报价区间：0.9-0.97，k:0.2，0.3，0.4</t>
  </si>
  <si>
    <t>小学教学楼及教辅用房等校安工程项目(教学楼及教辅用房)，本工程地上四层，框架结构，公共建筑，建筑总高度14.73m，建筑占地面积1601.46m2，总建筑面积4962.62m2.抗震设防烈度：6度，耐火等级二级，防水等级二级</t>
  </si>
  <si>
    <t>柯村南环至污水处理厂污水管网修复工程</t>
  </si>
  <si>
    <t>https://ggj.chizhou.gov.cn/front/bidcontent/9005001004/239d106afce84a1ba814847227562404</t>
  </si>
  <si>
    <t>市政公用工程总承包</t>
  </si>
  <si>
    <t>包括污水管网CLPP树脂固化修复、不锈钢双胀圈修复、检查井喷涂等非开挖修复，修复管网总长2591.82米</t>
  </si>
  <si>
    <t>池州高新区5G 园区建设项目-西区沿江路周边雨水系统改造一期工程</t>
  </si>
  <si>
    <t>https://ggj.chizhou.gov.cn/front/bidcontent/9005001004/66885a38c09c44d0bcc65e4aac944d12</t>
  </si>
  <si>
    <r>
      <rPr>
        <sz val="12"/>
        <color rgb="FF333333"/>
        <rFont val="宋体"/>
        <charset val="134"/>
      </rPr>
      <t xml:space="preserve">项目包含沿江路、临江路雨水管道改造共 </t>
    </r>
    <r>
      <rPr>
        <sz val="10.5"/>
        <color rgb="FF333333"/>
        <rFont val="Times New Roman"/>
        <charset val="134"/>
      </rPr>
      <t>2.7km</t>
    </r>
    <r>
      <rPr>
        <sz val="10.5"/>
        <color rgb="FF333333"/>
        <rFont val="宋体"/>
        <charset val="134"/>
      </rPr>
      <t>等</t>
    </r>
  </si>
  <si>
    <t>青阳县2021年老旧小区（龙子口西小区）改造项目</t>
  </si>
  <si>
    <t>https://ggj.chizhou.gov.cn/front/bidcontent/9005001004/e5fe54f0749042ef8d178ef9c3c14029</t>
  </si>
  <si>
    <t>雨污管网、道路硬化、墙屋面改造、绿化亮化、监控路灯等</t>
  </si>
  <si>
    <t>丁桥北外环路（牛山至洛家潭段）路基工程</t>
  </si>
  <si>
    <t>https://ggj.chizhou.gov.cn/front/bidcontent/9005001004/bb355f9e800b4bc1a98f94c659454fee</t>
  </si>
  <si>
    <t>98-102--</t>
  </si>
  <si>
    <t>公路工程施工总承包</t>
  </si>
  <si>
    <t>桥北外环路（牛山至洛家潭段）路基工程，本项目主要施工内容如下：新建总长4.06km，路基宽度8.5m；路基土、石方挖、运及回填；坡面排水、护坡、挡土墙等；直径Φ0.75m、Φ1.0m、Φ1.25m及Φ1.5m钢筋混凝土圆涵管，4*3m盖板涵等</t>
  </si>
  <si>
    <t>梅龙初级中学校舍改造及设备采购项目工程</t>
  </si>
  <si>
    <t>https://ggj.chizhou.gov.cn/front/bidcontent/9005001004/4d670d9cbe734d34b8f0dcaeb3595a98</t>
  </si>
  <si>
    <t>本次招标范围为科教楼改造成宿舍、路灯安装、2#教学楼改造工程、行政楼改造工程、宿舍楼安装、行政楼安装、2#教学楼安装等工程</t>
  </si>
  <si>
    <t>G530查桥至牛矶一级公路建设10kV高低压杆线迁移改造工程</t>
  </si>
  <si>
    <t>https://ggj.chizhou.gov.cn/front/bidcontent/9005001004/bd854d139b3b44c8a1b5a2018d83f3d7</t>
  </si>
  <si>
    <t>报价区间：0.85-0.95，k:0.2，0.3，0.4</t>
  </si>
  <si>
    <t>1）子项目一：10kV线路部分10kV新组立278基φ190*15m非预应力整根混凝土杆，组立44基φ350*15m部分预应力整根混凝土杆，组立49基φ350*15m分段式基础法兰加强杆，组立2基φ470*15m分段式基础法兰加强杆，埋设YJV22-3*300-10kV铜芯电缆线790m、架设AC10kV-JKLYJ-70绝缘导线计6.318km, AC10kV-JKLYJ-120架空绝缘导线计9.907km, AC10kV-JKLGYJ-185架空绝缘导线计45.048km。（2）子项目二：380v线路部分本工程380v线路新新组立61基φ190*12m非预应力整根混凝土杆，组立23基φ190*15m非预应力整根混凝土杆，组立7基φ350*15m部分预应力整根混凝土杆，组立9基φ350*15m分段式基础法兰加强杆，AC1kV-JKLYJ-150架空绝缘导线46.452公里，ZC-YJV22-4*240低压铜芯电缆线600m，ZC-YJV22-4*150低压铜芯电缆线400m。（3）子项目三：进户集装部分本期进户集装部分集束绝缘导线架设及表箱等安装。</t>
  </si>
  <si>
    <t>池州高新区5G园区建设项目——前江大道改造工程</t>
  </si>
  <si>
    <t>https://ggj.chizhou.gov.cn/front/bidcontent/9005001004/5d49c72490dd4b178f2df9ff593b108b</t>
  </si>
  <si>
    <t>池州高新区5G园区建设项目——前江大道改造工程位于池州市高新区（西区）内，路线北起钢厂东门，南至G318，沿线与升金路、金源路、金川路、涌金大道、宝赛大道、长丰路、黄湓路、兴丰路和G318 等现状道路相交，路线长度4.83km，路幅宽度为：钢厂东门~涌金大道段为26m、涌金大道~宝赛大道段为32m、宝赛大道~G318段为60m。</t>
  </si>
  <si>
    <t>五溪山色文化旅游度假区扩建项目文宗古村土建工程Ⅱ标段</t>
  </si>
  <si>
    <t>https://ggj.chizhou.gov.cn/front/bidcontent/9005001004/d97f434a9a5141e9b7bb866c296a6947</t>
  </si>
  <si>
    <t>建筑工程施工总承包、古建筑工程</t>
  </si>
  <si>
    <t>23栋单体建筑主体结构及浅基础工程施工（含有仿古建筑工程、木作工程及石作工程）、室外石基础及石墙、夯土饰面墙、屋面工程、防雷工程、二次结构施工等</t>
  </si>
  <si>
    <t>五溪山色文化旅游度假区扩建项目文宗古村土建工程Ⅰ标段</t>
  </si>
  <si>
    <t>https://ggj.chizhou.gov.cn/front/bidcontent/9005001004/c44f04047cfb404fb12260d20438e6d9</t>
  </si>
  <si>
    <t>一层地下室土建工程（包括土石方开挖、抗浮锚杆、筏板基础、浅基础及钢筋砼地下室外墙等施工），7栋单体建筑主体结构及浅基础工程施工（其中25#～30#楼含有仿古建筑工程、木作工程及石作工程）、室外石基础及石墙、夯土饰面墙、屋面工程、防雷工程、二次结构施工等，</t>
  </si>
  <si>
    <t>通港路以西七条路排水管网改造等工程III标（殷汇路北段、康庄路、生态路）</t>
  </si>
  <si>
    <t>https://ggj.chizhou.gov.cn/front/bidcontent/9005001004/8daf239b7a454d3cad636c2e51511dbd</t>
  </si>
  <si>
    <t>安徽交通技术学校校舍维修改造工程</t>
  </si>
  <si>
    <t>https://ggj.chizhou.gov.cn/front/bidcontent/9005001004/76ff030289bb4a2f94b5d173688e9192</t>
  </si>
  <si>
    <t>主要包括男生公寓室内改造（地面改造、墙面改造、内部设施设备改造）和图书馆改造（外墙面改造、内部设施设备改造）</t>
  </si>
  <si>
    <t>东至县“三线三边”可视范围内破损山体修复（张溪镇）工程</t>
  </si>
  <si>
    <t>https://ggj.chizhou.gov.cn/front/bidcontent/9005001004/51bbd23937e043709bcc6175c61e86aa</t>
  </si>
  <si>
    <t>报价区间：0.9-0.97，k:0.3，0.4，0.5</t>
  </si>
  <si>
    <t>地质灾害治理（防治）工程施工</t>
  </si>
  <si>
    <t>对东至县“三线三边”可视范围内张溪镇土桥村加油站对面取土区、里湖村上王组宕口、历山村石陈组取土区3处破损山体进行修复。张溪镇土桥村加油站对面取土区治理面积29536㎡，治理内容包括削坡开阶、挂网喷播、平台复绿、新建砼排水沟及阻挡墙；里湖村上王组宕口治理面积3219㎡，治理内容包括宕底复绿、新建砼阻挡墙；历山村石陈组取土区治理面积7500㎡，治理内容包括削坡开阶、挂网喷播、平台复绿、宕底复绿、新建砼排水沟及阻挡墙</t>
  </si>
  <si>
    <t>通港路以西七条路排水管网改造等工程Ⅰ标（通港路北段）</t>
  </si>
  <si>
    <t>https://ggj.chizhou.gov.cn/front/bidcontent/9005001004/1fe271b3f98d43be9f4659a4b9630fcb</t>
  </si>
  <si>
    <t>对工程范围内铺设人行道、绿化及修复雨水污水管等</t>
  </si>
  <si>
    <t>池州经济开发区建设工程质量安全第三方巡查及相关技术服务项目</t>
  </si>
  <si>
    <t>https://ggj.chizhou.gov.cn/front/bidcontent/9005001004/3ececfb8866a4f84a9d4e697c8bc3233</t>
  </si>
  <si>
    <t>报价区间：0.9-1，k:0.3，0.4，0.5</t>
  </si>
  <si>
    <t>房屋建筑工程监理</t>
  </si>
  <si>
    <t>务范围包括合同期内所有在建项目的日常巡查、季度检查、专项检查等</t>
  </si>
  <si>
    <t>通港路以西七条路排水管网改造等工程V标（殷汇路南段、玉镜路）</t>
  </si>
  <si>
    <t>https://ggj.chizhou.gov.cn/front/bidcontent/9005001004/9ce0901952604fb599295b6e5386da4d</t>
  </si>
  <si>
    <t>对工程范围内道路沿线有病害的排水管道进行更新改造（开挖和非开挖修复），新建或改建人行道，绿化恢复等</t>
  </si>
  <si>
    <t>池州市2021年普通国省干线公路灾害防治工程（G237济宁线K800+000-K820+200段）</t>
  </si>
  <si>
    <t>https://ggj.chizhou.gov.cn/front/bidcontent/9005001004/1fd67ec288d54c9781efccf7a6e18569</t>
  </si>
  <si>
    <t>98-102-0.5</t>
  </si>
  <si>
    <t>公路工程施工总承包、地质灾害治理工程施工</t>
  </si>
  <si>
    <t>池州高新区科技孵化器科技创业服务中心改造工程</t>
  </si>
  <si>
    <t>https://ggj.chizhou.gov.cn/front/bidcontent/9005001004/195b6cec77894351a88e69f39879edda</t>
  </si>
  <si>
    <t>建筑装修装饰及消防设施工程</t>
  </si>
  <si>
    <t>池州学院公共教学楼附属工程项目</t>
  </si>
  <si>
    <t>https://ggj.chizhou.gov.cn/front/bidcontent/9005001004/eafd46cd72154bccaa7a6574bfe306c4</t>
  </si>
  <si>
    <t>主体建筑内局部装饰、安装工程，室外道路、排水工程，绿化工程，室外安装工程等</t>
  </si>
  <si>
    <t>通港路以西七条路排水管网改造等工程IV标（梅林路、梅街路）</t>
  </si>
  <si>
    <t>https://ggj.chizhou.gov.cn/front/bidcontent/9005001004/10aef33fe28b430d89779acd1e50d79c</t>
  </si>
  <si>
    <t>2021年农村公路养护项目-仙寓镇利源路改造工程</t>
  </si>
  <si>
    <t>https://ggj.chizhou.gov.cn/front/bidcontent/9005001004/b0d9a3d89c8b46e9a281ab62a55818e5</t>
  </si>
  <si>
    <t>主要对该道路进行路基拓宽、路基防护、桥梁涵洞改造、路面升级改造、交通标志、标线改造等</t>
  </si>
  <si>
    <t>池州市2021年普通国省干线公路东至县G530马田桥、S234葛公桥危桥改造工程</t>
  </si>
  <si>
    <t>https://ggj.chizhou.gov.cn/front/bidcontent/9005001004/f6d5e274aa754cb191308c20eb9bef72</t>
  </si>
  <si>
    <t>公路养护工程施工、公路工程施工总承包</t>
  </si>
  <si>
    <t>G530马田桥位于池州市东至县境内G530黄湖线上，中心桩号为K277+101。跨径布置为1-7.0m。桥梁全长为12.5m，桥面全宽为9.0m，桥面净宽为8.0m。桥梁上部结构为钢筋混凝土现浇板，下部结构为重力式桥台、扩大基础，沥青混凝土桥面铺装。S234葛公桥危桥改造工程，葛公桥与桥位处河道正交，中心桩号为K0+046。桥梁全长37.84m，全宽10m，按整幅桥设计。上部结构采用（5+3x9+5）m普通钢筋砼现浇板，板高0.5m，1号和4号桥墩处设80型伸缩缝，0号和5号桥台、2号和3号桥墩处设置桥面连续；下部结构桥台采用枕梁式桥台，桥墩采用柱式墩，基础采用扩大基础。</t>
  </si>
  <si>
    <t>青阳县2021年老旧小区（蓉东大市场住宅楼）改造项目</t>
  </si>
  <si>
    <t>https://ggj.chizhou.gov.cn/front/bidcontent/9005001004/50ab78a6d4484fbbae6c052ededd47b5</t>
  </si>
  <si>
    <t>主要建设内容为：雨污管网、道路硬化、墙屋面改造、绿化亮化、监控路灯等</t>
  </si>
  <si>
    <t>青阳县2021年老旧小区（水务局宿舍、供电局宿舍）改造项目</t>
  </si>
  <si>
    <t>https://ggj.chizhou.gov.cn/front/bidcontent/9005001004/cc4a7625b7e240ab8eb4d73d0aa23bf3</t>
  </si>
  <si>
    <t>贵池区秋浦小学综合楼及多功能厅工程</t>
  </si>
  <si>
    <t>https://ggj.chizhou.gov.cn/front/bidcontent/9005001004/155cd2693cb04a6788d3697852323da9</t>
  </si>
  <si>
    <t>招标内容为新建秋浦小学综合楼、秋浦学校综合楼水电安装、室外附属工程等</t>
  </si>
  <si>
    <t>石台县2021年第一批以工代赈示范工程</t>
  </si>
  <si>
    <t>https://ggj.chizhou.gov.cn/front/bidcontent/9005001004/bbd6084615a641eaaf7fcc020cbde677</t>
  </si>
  <si>
    <t>报价区间：0.81-0.98，k:0.1，0.2，0.3</t>
  </si>
  <si>
    <t>包括浆砌石护岸工程、阶梯式生态挡墙护岸、生态护坡工程、人行步道工程、其他附属工程等</t>
  </si>
  <si>
    <t>济阳曹氏宗祠修缮工程</t>
  </si>
  <si>
    <t>https://ggj.chizhou.gov.cn/front/bidcontent/9005001004/959ba7af83724e79a8aee704ffd44ba5</t>
  </si>
  <si>
    <t>古建筑工程专业承包</t>
  </si>
  <si>
    <t>阳曹氏宗祠为全国重点文物保护单位，项目建设地点为青阳县境内，主要工程内容为：济阳曹氏宗祠及其附属建筑陈氏宗祠（孝思堂）建筑拆除、清理工程、解体、拆卸工程；墙地面工程、木构架工程、木装修工程、屋面工程、排水工程和本体及室内外周边排水系统的修缮工程等</t>
  </si>
  <si>
    <t>东至县昌江河生态清洁小流域建设工程</t>
  </si>
  <si>
    <t>https://ggj.chizhou.gov.cn/front/bidcontent/9005001004/93287ad13e834711bd174933802706e6</t>
  </si>
  <si>
    <t>①大田村老屋组村庄整治工程：3.5m宽C30混凝土道路长1000m（500px碎石垫层+450px砼面层）、2m宽125px厚青石板人行道长500m、大坝加培、水库清淤、坝体铺草皮以及踏步浇筑、坝脚排水沟渠长35.9m；②郑村捉马组村庄整治工程：1.85m宽125px厚青石板人行道长200m、新建浆砌石挡墙长290m、新建拦河堰1座；③郑村白泥河组清水廊道工程：新建浆砌石挡墙长760m、新建拦河堰2座；④郑村杨家组清水廊道：清水廊道第一段长108m、清水廊道第二段长83m；⑤其它：新增拦河堰1座、新增清水廊道长105.5m、人行阶梯道路长1000m及封禁碑10块</t>
  </si>
  <si>
    <t>青阳县富阳河水生态修复沿河小区（南华苑等三个小区）雨污水改造工程</t>
  </si>
  <si>
    <t>https://ggj.chizhou.gov.cn/front/bidcontent/9005001004/18d49a0e4f5343d89958ca67099f161b</t>
  </si>
  <si>
    <t>设内容包括对南华苑、中天鑫城、青山新城西区等小区雨污水管网进行改造、修复，彻底解决该区域雨污混接、污水乱排问题</t>
  </si>
  <si>
    <t>旅游蹬道整治维修工程（拜经台-天台旅游蹬道整治工程）项目</t>
  </si>
  <si>
    <t>https://ggj.chizhou.gov.cn/front/bidcontent/9005001004/76ce62242ab745d7a043bd28bd4ecbc0</t>
  </si>
  <si>
    <t>含原毛石挡土墙、条石步道、石栏杆拆除等；新建毛石挡土墙、条石排水沟及水沟护坡、条石步道、石栏杆等，其中节点二、节点十-十三采用钢筋砼平台</t>
  </si>
  <si>
    <t>东至县2021年老旧小区改造项目-县医院片区</t>
  </si>
  <si>
    <t>https://ggj.chizhou.gov.cn/front/bidcontent/9005001004/a6710014eaa745219386cec479758140</t>
  </si>
  <si>
    <t>项目改造范围约37150平方米。本次道路改造内容为拆除现状破损道路，新建水泥混凝土道路或沥青道路，新建给排水管道等，沥青砼道路、机动车道、非机动车道、透水砖广场铺、透水砖人行道、植草砖停车位、老围墙拆除、违章建筑拆除等</t>
  </si>
  <si>
    <t>池州市2021年普通国省干线公路灾害防治工程（G206威汕线K1390+000～K1420+000段）（第二次）</t>
  </si>
  <si>
    <t>https://ggj.chizhou.gov.cn/front/bidcontent/9005001004/7b166a264dcf444ca2e788f6295b8d79</t>
  </si>
  <si>
    <t>石台县小河镇石岭河等生态环境综合治理项目</t>
  </si>
  <si>
    <t>https://ggj.chizhou.gov.cn/front/bidcontent/9005001004/dfc52a6ccc2f4881ae66223e51ded67c</t>
  </si>
  <si>
    <t>本项目为石台县小河镇石岭河等生态环境综合治理项目；本次招标内容为市政工程和公厕工程等</t>
  </si>
  <si>
    <t>县域“三线三边”可视范围内宕口和破损山体治理工程--尧渡镇刘平石子厂矿山修复区危岩清理修复等工程</t>
  </si>
  <si>
    <t>https://ggj.chizhou.gov.cn/front/bidcontent/9005001004/718a22a083974313aa09dfcfa15d8498</t>
  </si>
  <si>
    <t>报价区间：0.88-0.96，k:0.3，0.4，0.5</t>
  </si>
  <si>
    <t>本次治理结合当地条件，对1号破损区坡面已基本黑化自然复绿效果较好的保持现状，采坑南侧弃土区平整、覆土、绿化，沿采区边缘设置警示牌。2号3号破损区坡面进行危岩清理，然后撒播草杍复绿，宕底平整、覆土、复绿，修建排水沟工程。4号治理区（排土场）进行平整覆土，栽植灌、乔木、撒草籽复绿。 废弃石料约6440吨</t>
  </si>
  <si>
    <t>池州市贵池区八一水库、万成灌区续建配套与节水改造工程一标段（八一水库灌区）</t>
  </si>
  <si>
    <t>https://ggj.chizhou.gov.cn/front/bidcontent/9005001004/f787d530981e43f6ae62654c8de4cf98</t>
  </si>
  <si>
    <t>报价区间：0.76-0.98，k:0.1，0.2，0.3</t>
  </si>
  <si>
    <t>主要建设内容为：新建小型提水站1处，总装机1台套11kw。拆除重建分水闸2座、维修加固山塘4座;维修加固墙堰3座、拆除重建蝠堰1座；乐岭村与凉亭村境内渠道衬砌总长度5km。新建河道护岸1103m，新建生态护岸200m</t>
  </si>
  <si>
    <t>池州市贵池区八一水库、万成灌区续建配套与节水改造工程二标段（万成灌区）</t>
  </si>
  <si>
    <t>https://ggj.chizhou.gov.cn/front/bidcontent/9005001004/c2ca1ad064fa413abe85114da3ceb989</t>
  </si>
  <si>
    <t>建设范围为万成灌区位于池州市贵池区牛头山镇，为泵站提水灌区，主要利用万成站从秋浦河提水至万成河，再由万成河沿河泵站提水至各片区进行灌溉。灌区总面积23.92km'，总耕地面积2.27万亩。主要涉及牛头山镇的惠民、万生、杨店以及木闸社区4个行政村，总人口 1.38万人，设计灌溉面积1.5万亩。主要建设内容为：新建二级提水站1处，拆除重建二级提水站7座，新建1座移动泵站，总装机12台套248kw；灌排沟渠清淤整治3条，总长2.22km；拆除重建机耕桥4座</t>
  </si>
  <si>
    <t>东至县2021年老旧小区改造项目-田园新村、田园新村房改房、交警大队宿舍</t>
  </si>
  <si>
    <t>https://ggj.chizhou.gov.cn/front/bidcontent/9005001004/abecd74c6e574474a75b972ff7515253</t>
  </si>
  <si>
    <t>报价区间：0.88-0.98，k:0.3，0.4，0.5</t>
  </si>
  <si>
    <t>本次道路改造内容为拆除及新建道路；原路面破坏修复；违章建筑拆除；将雨污水管网进行分离并接入市政管网；更换破损落水管并接入雨水管网；公共楼梯间增设感应照明灯及管线；预埋照明及监控套管等图纸内容，拆除砼路面26824.45m2，违章建筑拆除200m2，新建沥青路19990.25m2，原砼路面加铺沥青路5368.2m2，新建砼道路过车882.36m2，新建砼道路不过车5819.77m2，荷兰砖铺装4886.09m2，植草砖停车位2365m2，新建非机动车车棚2457.6m2，新建围墙305m等图纸内容</t>
  </si>
  <si>
    <t>东至县2021年老旧小区改造项目-齿轮厂宿舍东区、齿轮厂宿舍西区</t>
  </si>
  <si>
    <t>https://ggj.chizhou.gov.cn/front/bidcontent/9005001004/d9edbcfdcd934b5082d7e25c8351b371</t>
  </si>
  <si>
    <t>本次改造内容为拆除及新建道路；篮球场改造；违章建筑拆除；将雨污水管网进行分离并接入市政管网；更换破损落水管并接入雨水管网；公共楼梯间增设感应照明灯及管线；预埋路灯照明及室外监控管道、公厕改造、屋面改造、绿化等图纸设计内容等</t>
  </si>
  <si>
    <t>池州市救灾物资储备库改造工程</t>
  </si>
  <si>
    <t>https://ggj.chizhou.gov.cn/front/bidcontent/9005001004/a6bc5b8c15bf405f93818e870a66a0ec</t>
  </si>
  <si>
    <t>消防泵房建设、室外场地改造、救灾物资储备库改造及安装</t>
  </si>
  <si>
    <t>青阳县实验小学体育场、停车场等设施新改建工程</t>
  </si>
  <si>
    <t>https://ggj.chizhou.gov.cn/front/bidcontent/9005001004/6f1d8c7c0bc74dbbb748acb5f52f0774</t>
  </si>
  <si>
    <t>主要建设内容为：运动场、停车场、器材室、广场部分、文化长廊及校园内雨污水分流、监控和绿化等</t>
  </si>
  <si>
    <t>2021年石台县小河镇高标准农田建设项目</t>
  </si>
  <si>
    <t>https://ggj.chizhou.gov.cn/front/bidcontent/9005001004/1918248a52454964b02e6d60729f726e</t>
  </si>
  <si>
    <t>本次工程建设规模主要包括渠道工程、渠盖板涵工程、高效节水工程等其他工程</t>
  </si>
  <si>
    <t>墩上街道主街道环境提升工程</t>
  </si>
  <si>
    <t>https://ggj.chizhou.gov.cn/front/bidcontent/9005001004/32be97c011834db184240838da9a30af</t>
  </si>
  <si>
    <t>墩上街道主街道环境提升工程，包括沥青混凝土路面、白加黑路面、花岗岩侧石、台阶、隔离花池、挡墙、排水沟、道路标线、混凝土场地修补、人行道拆除及恢复、树池、雨水管网、绿化、原有地坪及花池等拆除工程等</t>
  </si>
  <si>
    <t>石台县2021年度爱国路县乡公路升级改造工程</t>
  </si>
  <si>
    <t>https://ggj.chizhou.gov.cn/front/bidcontent/9005001004/57d3711c561d4eff92f1549a8250c7d7</t>
  </si>
  <si>
    <t>主要对该道路进行路基、路面升级改造、路基防护、涵洞改造、交通安全设施等</t>
  </si>
  <si>
    <t>池黄高铁江村安置区配套设施工程</t>
  </si>
  <si>
    <t>https://ggj.chizhou.gov.cn/front/bidcontent/9005001004/a461e3c368fc43a6bc0f76d42c1fdab3</t>
  </si>
  <si>
    <t>主要建设内容为安置区沥青路面、钢筋混凝土挡土墙、雨污水、混凝土路面、绿化等配套设施工程</t>
  </si>
  <si>
    <t>大演乡生态富硒农产品加工园区建设项目（二期）</t>
  </si>
  <si>
    <t>https://ggj.chizhou.gov.cn/front/bidcontent/9005001004/d1913ef20c984aaf8b1f8bceafa1d574</t>
  </si>
  <si>
    <t>包含建筑、装饰、强弱电、消防、给排水、防雷接地、室外附属、消防水池等工程,不包含室内精装修（另行设计）</t>
  </si>
  <si>
    <t>石台县大演乡永福村等河道综合治理工程</t>
  </si>
  <si>
    <t>https://ggj.chizhou.gov.cn/front/bidcontent/9005001004/f39d0b4aa9df4ae69036d5a702d1605c</t>
  </si>
  <si>
    <t>九华山风景区2021年度人居环境提升工程-景观提升工程</t>
  </si>
  <si>
    <t>https://ggj.chizhou.gov.cn/front/bidcontent/9005001004/7c668654fe19490199a58cc599d52658</t>
  </si>
  <si>
    <t>九华山风景区2021年度人居环境提升工程-景观提升工程人行道铺设面积约12912.95平方米，其中福建青花岗岩铺设8054.27平方米，荔枝面芝麻黑铺设4171.99平方米，自然面芝麻黑小料石铺设686.69平方米，花池645.61米，及配套的台阶、人口标志、入口特色景墙等</t>
  </si>
  <si>
    <t>2021年东至县高标准农田建设项目1标段（张溪镇仙亭村）</t>
  </si>
  <si>
    <t>https://ggj.chizhou.gov.cn/front/bidcontent/9005001004/f477415f36884183aa3ee4f27992f706</t>
  </si>
  <si>
    <t>主要建设内容为沟渠清淤、山塘清淤加固、新建涵闸、渠道衬砌硬化、排水沟硬化 、新建砌石挡墙、机耕桥、拦水堰、田间道路工程等</t>
  </si>
  <si>
    <t>2021年东至县高标准农田建设项目7标段（胜利镇方村村）</t>
  </si>
  <si>
    <t>https://ggj.chizhou.gov.cn/front/bidcontent/9005001004/5e359c7165644e7ebf8d05a4d390028b</t>
  </si>
  <si>
    <t>2021年东至县高标准农田建设项目2标段（张溪镇杨畈村）</t>
  </si>
  <si>
    <t>https://ggj.chizhou.gov.cn/front/bidcontent/9005001004/c88b48e008bf47c08575d59807e96797</t>
  </si>
  <si>
    <t>2021年东至县高标准农田建设项目17标段（龙泉镇铁炉村）</t>
  </si>
  <si>
    <t>https://ggj.chizhou.gov.cn/front/bidcontent/9005001004/d15b64f4d1ae4057a91f7cacdd32d830</t>
  </si>
  <si>
    <t>2021年东至县高标准农田建设项目8标段（香隅镇花山村）</t>
  </si>
  <si>
    <t>https://ggj.chizhou.gov.cn/front/bidcontent/9005001004/e45901a5a82147808820e14af09e5977</t>
  </si>
  <si>
    <t>2021年东至县高标准农田建设项目3标段（张溪镇阳山村）</t>
  </si>
  <si>
    <t>https://ggj.chizhou.gov.cn/front/bidcontent/9005001004/13cd4a3c00b2463d852099cf732db96f</t>
  </si>
  <si>
    <t>2021年东至县高标准农田建设项目16标段（青山乡青山村）</t>
  </si>
  <si>
    <t>https://ggj.chizhou.gov.cn/front/bidcontent/9005001004/778ebd3aaf2e4a7c905a1270bbd63719</t>
  </si>
  <si>
    <t>2021年东至县高标准农田建设项目19标段（龙泉镇松田村）</t>
  </si>
  <si>
    <t>https://ggj.chizhou.gov.cn/front/bidcontent/9005001004/3b48b0f03b6547678a0549debd2a3db6</t>
  </si>
  <si>
    <t>2021年东至县高标准农田建设项目10标段（尧渡镇西村村）</t>
  </si>
  <si>
    <t>https://ggj.chizhou.gov.cn/front/bidcontent/9005001004/0470b8d2f9a04ef1bbcb29a442f9a3eb</t>
  </si>
  <si>
    <t>2021年东至县高标准农田建设项目11标段（尧渡镇良田村、枫树村、乃滩村）</t>
  </si>
  <si>
    <t>https://ggj.chizhou.gov.cn/front/bidcontent/9005001004/14f06c432d6a409d85cab052adb0a8ae</t>
  </si>
  <si>
    <t>2021年东至县高标准农田建设项目4标段（张溪镇葛仙铺村）</t>
  </si>
  <si>
    <t>https://ggj.chizhou.gov.cn/front/bidcontent/9005001004/654b9b35316a4d618b9f5cf1b393a8e5</t>
  </si>
  <si>
    <t>2021年东至县高标准农田建设项目18标段（龙泉镇铁炉村、古楼村、家庭农场）</t>
  </si>
  <si>
    <t>https://ggj.chizhou.gov.cn/front/bidcontent/9005001004/046aeef54d434e3b84c163738036d2ef</t>
  </si>
  <si>
    <t>2021年东至县高标准农田建设项目13标段（官港镇黄柏村）</t>
  </si>
  <si>
    <t>https://ggj.chizhou.gov.cn/front/bidcontent/9005001004/e5e0975833bf4d92862d59729a1b082d</t>
  </si>
  <si>
    <t>2021年东至县高标准农田建设项目12标段（官港镇陈镇村）</t>
  </si>
  <si>
    <t>https://ggj.chizhou.gov.cn/front/bidcontent/9005001004/6f12bd2fa088443cbc000559074e81c5</t>
  </si>
  <si>
    <t>2021年东至县高标准农田建设项目15标段（泥溪镇双龙村、元潘村、官村村）</t>
  </si>
  <si>
    <t>https://ggj.chizhou.gov.cn/front/bidcontent/9005001004/a75d50bf4a584d77897a7e0c17381ce7</t>
  </si>
  <si>
    <t>2021年东至县高标准农田建设项目6标段（胜利镇桃源村）</t>
  </si>
  <si>
    <t>https://ggj.chizhou.gov.cn/front/bidcontent/9005001004/4b95869c76504f5ebb33afc3631a9255</t>
  </si>
  <si>
    <t>2021年东至县高标准农田建设项目14标段（泥溪镇泥溪村、隐东村）</t>
  </si>
  <si>
    <t>https://ggj.chizhou.gov.cn/front/bidcontent/9005001004/7022b75efb994a0ea3bea4c197c960ce</t>
  </si>
  <si>
    <t>2021年东至县高标准农田建设项目5标段（胜利镇吉阳村）</t>
  </si>
  <si>
    <t>https://ggj.chizhou.gov.cn/front/bidcontent/9005001004/d713d0e4e0bf4d0b8bf205d0ade6ab77</t>
  </si>
  <si>
    <t>池州市石台县城南幼儿园项目</t>
  </si>
  <si>
    <t>https://ggj.chizhou.gov.cn/front/bidcontent/9005001004/4efed78ba835480a987cc1d24d3e6897</t>
  </si>
  <si>
    <r>
      <rPr>
        <sz val="12"/>
        <color rgb="FF333333"/>
        <rFont val="宋体"/>
        <charset val="134"/>
      </rPr>
      <t>池州市石台县城南幼儿园项目工程，建筑面积5377.96</t>
    </r>
    <r>
      <rPr>
        <sz val="12"/>
        <color rgb="FF333333"/>
        <rFont val="宋体"/>
        <charset val="134"/>
      </rPr>
      <t>平方米</t>
    </r>
  </si>
  <si>
    <t>东至县主城区道路白改黑工程、百悦片区防涝工程</t>
  </si>
  <si>
    <t>https://ggj.chizhou.gov.cn/front/bidcontent/9005001004/1538b9a02bb3411a9b9bd7f186da14d3</t>
  </si>
  <si>
    <t>青阳县青通河生态环境提升及配套设施建设项目（芙蓉大道-朱备镇段沿线环境整治及休闲绿道工程）</t>
  </si>
  <si>
    <t>https://ggj.chizhou.gov.cn/front/bidcontent/9005001004/b6d454ec70f142ceb19021cd6d47d5f7</t>
  </si>
  <si>
    <t>全长9.10KM，包括路基土方、骑行栈道、观鸟台2处、花溪听水亭1座、卵石步道、过路桥涵3座及围堰、钢筋混凝土挡土墙、路灯安装、绿化等工程</t>
  </si>
  <si>
    <t>东至县城南出入口环境整治工程（一期）</t>
  </si>
  <si>
    <t>https://ggj.chizhou.gov.cn/front/bidcontent/9005001004/8f39277cd480455c81a2f0da763a621b</t>
  </si>
  <si>
    <t>高速出口道路交叉口整治、现状北两侧地块景观提升等内容</t>
  </si>
  <si>
    <t>2021年贵池区秋江街道莲台村高标准农田建设项目I标段</t>
  </si>
  <si>
    <t>https://ggj.chizhou.gov.cn/front/bidcontent/9005001004/ca605769a3e84c26b5efc80ff8ee60a0</t>
  </si>
  <si>
    <t>池州市东至县木塔乡中心学校本部小学教学楼及教辅用房等校安工程项目(教学楼、综合楼及教辅用房)</t>
  </si>
  <si>
    <t>https://ggj.chizhou.gov.cn/front/bidcontent/9005001004/a5861ef6a29e4222ba19546c4908ab40</t>
  </si>
  <si>
    <t>报价区间：0.80-0.95，k:0.3，0.4，0.5</t>
  </si>
  <si>
    <t>建筑工程施工总承包和市政公用工程总承包</t>
  </si>
  <si>
    <t>本工程分为四大块：综合楼工程、教学楼及教辅用房工程、场地土方工程和室外场地排水干管工程。其中：综合楼工程：地上三层，框架结构，公共建筑，建筑总高度11.25m，建筑占地面积199.1m2，总建筑面积597.3m2.抗震设防烈度：6度，耐火等级二级，防水等级二级</t>
  </si>
  <si>
    <t>东至县人防国防应急地面指挥中心附属配套工程</t>
  </si>
  <si>
    <t>https://ggj.chizhou.gov.cn/front/bidcontent/9005001004/dedc4f63820547e8b061b9364609e2bd</t>
  </si>
  <si>
    <t>市政工程：1）、沥青混凝土道路工程3057.74㎡；2）、混凝土训练基地1787.54㎡，塑胶面积846㎡，3）、花岗岩铺装3116.19㎡，60厚透水砖非机动车道，54㎡，小汽车停车位595.84㎡、车档38个，4）、雨污水管道及检查井；5）、钢筋混凝土排水沟：169.17m;6）、花岗岩树池8个；升旗台1座，7）、污水提升泵站1座等。道路工程：道路总长约355.073m，沥青混凝土道路2600㎡、150px厚荷兰砖人行道971.53㎡，荷兰砖园路铺装432.2㎡，给排水管道及检查井、弱电套管、8m高LED路灯13盏及管线综合等</t>
  </si>
  <si>
    <t>2021年青阳县城区交通设施维修建设工程</t>
  </si>
  <si>
    <t>https://ggj.chizhou.gov.cn/front/bidcontent/9005001004/592aa2f1b7c7445c98d42ab517b48e08</t>
  </si>
  <si>
    <r>
      <rPr>
        <sz val="10.5"/>
        <color rgb="FF000000"/>
        <rFont val="宋体"/>
        <charset val="134"/>
      </rPr>
      <t>交通工程专业承包</t>
    </r>
  </si>
  <si>
    <t>建设内容：标志标牌、路面标线、京式中央隔离护栏、挡车柱、减速带、爆闪灯等；地点分散且非一次性集中施工，时间跨度较大</t>
  </si>
  <si>
    <t>池州市贵池区源溪河小流域水土保持综合治理工程</t>
  </si>
  <si>
    <t>https://ggj.chizhou.gov.cn/front/bidcontent/9005001004/1c3fef169c3a4d238653f9691d1e83f6</t>
  </si>
  <si>
    <t>工程内容包括河道清淤治理、河道护岸、跌水、拦砂坝、蓄水堰、蓄水池、谷坊等工程内容</t>
  </si>
  <si>
    <t>青阳县2021年度城区道路标线标牌工程</t>
  </si>
  <si>
    <t>https://ggj.chizhou.gov.cn/front/bidcontent/9005001004/1bf8b5a2c83045f89a7717ac2289747c</t>
  </si>
  <si>
    <t>98-102---</t>
  </si>
  <si>
    <t>该工程新建临城路、天柱路、庙前路、木镇路、滨湖东路、滨湖西路等道路非机动车道交通标志、标线等交通基础设施，共新建道路标线约2.1万平方米，道路标牌200块，隔离护栏1000米，以及挡车柱、减速带等</t>
  </si>
  <si>
    <t>2021年贵池区殷汇镇高标准农田建设项目二标段（石城、长庄村）</t>
  </si>
  <si>
    <t>https://ggj.chizhou.gov.cn/front/bidcontent/9005001004/456597ce887247ddab3d4ae8b2e1c698</t>
  </si>
  <si>
    <t>齐山派出所业务用房修缮改造项目工程</t>
  </si>
  <si>
    <t>https://ggj.chizhou.gov.cn/front/bidcontent/9005001004/29bf61a5315a4bdb850fe9984689a02d</t>
  </si>
  <si>
    <t>装修装饰工程专业承包</t>
  </si>
  <si>
    <t>齐山派出所业务用房墙面、楼地面、天棚、屋面及室外围墙改造等</t>
  </si>
  <si>
    <t>2021年贵池区乌沙镇高标准农田建设项目Ⅲ标段（晏塘社区）</t>
  </si>
  <si>
    <t>https://ggj.chizhou.gov.cn/front/bidcontent/9005001004/8422cae2a2014968bb0a175e9e5f02f5</t>
  </si>
  <si>
    <t>2021年贵池区乌沙镇高标准农田建设项目Ⅳ标段（莲花村）</t>
  </si>
  <si>
    <t>https://ggj.chizhou.gov.cn/front/bidcontent/9005001004/b52748ebf6dc453187e408424974b9b0</t>
  </si>
  <si>
    <t>2021年贵池区乌沙镇高标准农田建设项目Ⅴ标段（双塘村）</t>
  </si>
  <si>
    <t>https://ggj.chizhou.gov.cn/front/bidcontent/9005001004/e313b1ad972a4806a708772489115bc4</t>
  </si>
  <si>
    <t>青阳县陵阳镇2021年县乡公路升级改造工程（礼陵路、分德路、一天门路）</t>
  </si>
  <si>
    <t>https://ggj.chizhou.gov.cn/front/bidcontent/9005001004/277a9387fbe94867902efee9f857b526</t>
  </si>
  <si>
    <t>新改建总长5.5公里，路基宽7.5米，路面宽6.5米，三级公路建设标准，有沥青混凝土路面，铣创旧水稳碎石路面，水泥混凝土基层，绑宽水泥混凝土面板，C20素砼垫层，新建Ф0.5m、Ф1m钢筋混凝土圆管涵，老盖板涵接长，路基挖方、填方，现浇混凝土边沟，浆砌片石挡土墙，以及安全防护设施等</t>
  </si>
  <si>
    <t>2021年贵池区乌沙镇高标准农田建设项目Ⅰ标段（横塘村）</t>
  </si>
  <si>
    <t>https://ggj.chizhou.gov.cn/front/bidcontent/9005001004/072bf214098d44eabad1f873a62a3166</t>
  </si>
  <si>
    <t>池州市石台县第二中学教学楼项目</t>
  </si>
  <si>
    <t>https://ggj.chizhou.gov.cn/front/bidcontent/9005001004/cc63cc92d214419b93d135b9d006d5e6</t>
  </si>
  <si>
    <r>
      <rPr>
        <sz val="12"/>
        <color rgb="FF333333"/>
        <rFont val="宋体"/>
        <charset val="134"/>
      </rPr>
      <t>新建教学楼面积约4846m</t>
    </r>
    <r>
      <rPr>
        <vertAlign val="superscript"/>
        <sz val="9"/>
        <color rgb="FF333333"/>
        <rFont val="宋体"/>
        <charset val="134"/>
      </rPr>
      <t>2</t>
    </r>
    <r>
      <rPr>
        <sz val="10.5"/>
        <color rgb="FF333333"/>
        <rFont val="宋体"/>
        <charset val="134"/>
      </rPr>
      <t>，六层（局部五层）钢筋混凝土框架结构及附属工程建设</t>
    </r>
  </si>
  <si>
    <t>2021年贵池区乌沙镇高标准农田建设项目Ⅱ标段（乌沙社区）</t>
  </si>
  <si>
    <t>https://ggj.chizhou.gov.cn/front/bidcontent/9005001004/f99859bfbe6445e0a63bbc056c6f73e3</t>
  </si>
  <si>
    <t>2021年贵池区秋江街道莲台村高标准农田建设项目Ⅱ标段</t>
  </si>
  <si>
    <t>https://ggj.chizhou.gov.cn/front/bidcontent/9005001004/b6b846af6b5e4485a6e625d28b3f076a</t>
  </si>
  <si>
    <t>2021年贵池区墩上街道高标准农田建设项目—I标段（许桥村）</t>
  </si>
  <si>
    <t>https://ggj.chizhou.gov.cn/front/bidcontent/9005001004/8ef457bcbfe44650a2de5dbef8379323</t>
  </si>
  <si>
    <t>2021年贵池区墩上街道高标准农田建设项目—II标段（双河村）</t>
  </si>
  <si>
    <t>https://ggj.chizhou.gov.cn/front/bidcontent/9005001004/4228a0714bda459e9e25609490e6819e</t>
  </si>
  <si>
    <t>2021年贵池区墩上街道高标准农田建设项目—III标段（墩上社区、罗城村）</t>
  </si>
  <si>
    <t>https://ggj.chizhou.gov.cn/front/bidcontent/9005001004/d4b407e7fe5447c6b19b5242bd430aa8</t>
  </si>
  <si>
    <t>2021年贵池区梅龙街道高标准农田建设项目I标段（双湖村）</t>
  </si>
  <si>
    <t>https://ggj.chizhou.gov.cn/front/bidcontent/9005001004/aff1939f25414b64a52167612aaa13a8</t>
  </si>
  <si>
    <t>2021年贵池区梅村镇高标准农田建设项目</t>
  </si>
  <si>
    <t>https://ggj.chizhou.gov.cn/front/bidcontent/9005001004/a8c5d3d8f41648c3972edc14a371f98f</t>
  </si>
  <si>
    <t>2021年贵池区梅龙街道高标准农田建设项目II标段（双岭村）</t>
  </si>
  <si>
    <t>https://ggj.chizhou.gov.cn/front/bidcontent/9005001004/b76817b3d3ba46d9ae4ae535a5b82174</t>
  </si>
  <si>
    <t>2021年贵池区梅龙街道高标准农田建设项目III标段（祠堂村）</t>
  </si>
  <si>
    <t>https://ggj.chizhou.gov.cn/front/bidcontent/9005001004/7060e7590b034dbb9413d1cf2a048f97</t>
  </si>
  <si>
    <t>2021年贵池区涓桥镇高标准农田建设项目二标段（乐岭村、叶管村、凉亭村）</t>
  </si>
  <si>
    <t>https://ggj.chizhou.gov.cn/front/bidcontent/9005001004/00aed8deea8949c5951f10db3ac675e8</t>
  </si>
  <si>
    <t>2021年贵池区涓桥镇高标准农田建设项目一标段（七一村）</t>
  </si>
  <si>
    <t>https://ggj.chizhou.gov.cn/front/bidcontent/9005001004/d37b336488994a2b8349ff97e5de03ac</t>
  </si>
  <si>
    <t>石台县城市公益性公墓建设项目外部连接道路工程</t>
  </si>
  <si>
    <t>https://ggj.chizhou.gov.cn/front/bidcontent/9005001004/fc32e94602ab4ef188aabe50cfa55605</t>
  </si>
  <si>
    <t>石台县城市公益性公墓建设项目外部连接道路工程，全长：1.667km</t>
  </si>
  <si>
    <t>殷汇镇汇安路人民广场改造及周边街面整治提升项目</t>
  </si>
  <si>
    <t>https://ggj.chizhou.gov.cn/front/bidcontent/9005001004/0de562c68dfb4ebea81e762283431005</t>
  </si>
  <si>
    <t>市政公用工程施工总承包、建筑装修装饰工程</t>
  </si>
  <si>
    <t>本次项目内容主要包含汇安路人民广场改造：广场铺装、围墙、雨水系统、绿化等工程。周边街面整治提升：1#立面、2#立面改造、3#立面改造、4#立面改造、5#立面改造</t>
  </si>
  <si>
    <t>石台县大演乡新农新火农村人居环境整治项目</t>
  </si>
  <si>
    <t>https://ggj.chizhou.gov.cn/front/bidcontent/9005001004/7fa7634ec28348ee8ae6be172548ffde</t>
  </si>
  <si>
    <t>主要建设内容为新建污水管道工程、新建污水检查井工程、混凝土道路、绿化及沥青路面破除恢复等工程</t>
  </si>
  <si>
    <t>青阳县陵阳镇所村太平山房修缮工程</t>
  </si>
  <si>
    <t>https://ggj.chizhou.gov.cn/front/bidcontent/9005001004/5cec250f2e7c4199a3b40360d8a64a1c</t>
  </si>
  <si>
    <t>文物保护工程施工</t>
  </si>
  <si>
    <t>主要工程内容为：青阳县陵阳镇所村太平山房建筑拆除、清理工程、解体、拆卸工程；墙地面工程、木构架工程、木装修工程、屋面工程、排水工程和本体及室内外周边排水系统的修缮工程</t>
  </si>
  <si>
    <t>东至县董冲、汪木山等27座水库除险加固工程2标段</t>
  </si>
  <si>
    <t>https://ggj.chizhou.gov.cn/front/bidcontent/9005001004/0461fa4942204601b068fd8856c3f98e</t>
  </si>
  <si>
    <t>报价区间：0.81-0.99，k:0.1，0.2，0.3</t>
  </si>
  <si>
    <t>主要建设内容为大坝加固、放水涵加固、溢洪道加固等</t>
  </si>
  <si>
    <t>东至县董冲、汪木山等27座水库除险加固工程6标段</t>
  </si>
  <si>
    <t>https://ggj.chizhou.gov.cn/front/bidcontent/9005001004/29c1f83605a0425f8161b5f22dfb0e77</t>
  </si>
  <si>
    <t>东至县董冲、汪木山等27座水库除险加固工程4标段</t>
  </si>
  <si>
    <t>https://ggj.chizhou.gov.cn/front/bidcontent/9005001004/1cfee0d9865741778a0f8cad87c280d4</t>
  </si>
  <si>
    <t>东至县董冲、汪木山等27座水库除险加固工程3标段</t>
  </si>
  <si>
    <t>https://ggj.chizhou.gov.cn/front/bidcontent/9005001004/05966abd02904b7881edf02d62ff9647</t>
  </si>
  <si>
    <t>2021年县城区排水防涝（泵站）建设工程</t>
  </si>
  <si>
    <t>https://ggj.chizhou.gov.cn/front/bidcontent/9005001004/4812fb5b88d24372a34acc2b68f0213e</t>
  </si>
  <si>
    <t>报价区间：0.86-0.92，k:0.1，0.15，0.2</t>
  </si>
  <si>
    <t>工程内容包括雨污水管道改造、开挖及修复道路、一体化泵站等建设内容</t>
  </si>
  <si>
    <t>池州市2021年普通国省干线公路灾害防治工程（石台县G237济宁线K820+200-K837+573段、G530黄湖线K154+686-K203+950段）</t>
  </si>
  <si>
    <t>https://ggj.chizhou.gov.cn/front/bidcontent/9005001004/6a93170579ac4a1b9a3833de72c05b34</t>
  </si>
  <si>
    <t>朱备小镇客厅室内装修工程</t>
  </si>
  <si>
    <t>https://ggj.chizhou.gov.cn/front/bidcontent/9005001004/70a06d77f2f24ad3a17b56e1c6421243</t>
  </si>
  <si>
    <t>建筑工程施工总承包或建筑装修装饰工程</t>
  </si>
  <si>
    <t>青阳县2021年度城区信号灯及电子警察工程</t>
  </si>
  <si>
    <t>https://ggj.chizhou.gov.cn/front/bidcontent/9005001004/1e80385bd70640f79f9786755a65b16f</t>
  </si>
  <si>
    <r>
      <rPr>
        <sz val="10.5"/>
        <color rgb="FF333333"/>
        <rFont val="宋体"/>
        <charset val="134"/>
      </rPr>
      <t>公路交通工程专业承包</t>
    </r>
  </si>
  <si>
    <t>新建九华东路与天柱路、九华东路与碧桃路、天华路与青山路、天华路与莲花路等4个路口信号灯、电子警察等</t>
  </si>
  <si>
    <t>九华山中闵园环境整治改造工程</t>
  </si>
  <si>
    <t>https://ggj.chizhou.gov.cn/front/bidcontent/9005001004/62ee482c82674730b6caa01d84569951</t>
  </si>
  <si>
    <t>古建筑工程专业承包和市政公用工程施工总承包</t>
  </si>
  <si>
    <t>具体内容包括图书馆226.39m2，绿化约1000m2，铺装607m2，茶歇亭1座，仿古棚12座</t>
  </si>
  <si>
    <t>石台县小河镇农民工创业园4#厂房工程</t>
  </si>
  <si>
    <t>https://ggj.chizhou.gov.cn/front/bidcontent/9005001004/b6b5d6d8c30e4d718f9420e4ddeb24b1</t>
  </si>
  <si>
    <t>石台县小河镇集中供水水厂工程（厂区工程）</t>
  </si>
  <si>
    <t>https://ggj.chizhou.gov.cn/front/bidcontent/9005001004/e6bd02f14d914d16b306b303bc196a50</t>
  </si>
  <si>
    <t>主要包括取水工程、制水工程以及厂区管理用房工程等</t>
  </si>
  <si>
    <t>池州市九华山风景区友谊水库除险加固工程(I标段)</t>
  </si>
  <si>
    <t>https://ggj.chizhou.gov.cn/front/bidcontent/9005001004/22b308b2ec5148d58d42f12ec6c29ad5</t>
  </si>
  <si>
    <t>水库大坝、溢洪道、放水涵洞等除险加固，</t>
  </si>
  <si>
    <t>池州市九华山风景区民主水库除险加固工程(I标段)</t>
  </si>
  <si>
    <t>https://ggj.chizhou.gov.cn/front/bidcontent/9005001004/950fb21d3e044aa2b74d529b9e57b107</t>
  </si>
  <si>
    <t>拆除重建放水低涵、封堵高涵、完善大坝安全监测设施等</t>
  </si>
  <si>
    <t>安徽卫生健康职业学院图书馆室内装修改造工程</t>
  </si>
  <si>
    <t>https://ggj.chizhou.gov.cn/front/bidcontent/9005001004/98cdd50fd9de472e8e042c2bd8ad5cd9</t>
  </si>
  <si>
    <t>包括土建装饰工程、安装等工程</t>
  </si>
  <si>
    <t>青阳县石安工业园环境综合整治项目园区道路提升工程（石安路）</t>
  </si>
  <si>
    <t>https://ggj.chizhou.gov.cn/front/bidcontent/9005001004/83ebe4f581e246ce9ec519a3c6bc39f2</t>
  </si>
  <si>
    <t>小三线文化园建筑景观改造工程-景观改造</t>
  </si>
  <si>
    <t>https://ggj.chizhou.gov.cn/front/bidcontent/9005001004/b0dabebc056f49989668e6798b972bb5</t>
  </si>
  <si>
    <t>0.5-10</t>
  </si>
  <si>
    <t>建筑工程施工总承包和市政工程施工总承包</t>
  </si>
  <si>
    <t>主要为2#厂房改造、室外铺装、园建、雨水管道、绿化等工程</t>
  </si>
  <si>
    <t>东至县大渡口镇2021年度汇隆花园老旧小区改造工程</t>
  </si>
  <si>
    <t>https://ggj.chizhou.gov.cn/front/bidcontent/9005001004/e18d10dbf4af41199c9dffeee8e8f92e</t>
  </si>
  <si>
    <t>新建塑胶健身广场172m2，小区水泥混凝土道路拓宽约3245.5m2，植草砖停车位819m2，荷兰砖恢复400m2，透水砖919.6m2，木制长廊42m，。小区外墙渗水改造1200m2，屋面防水改造1500m2，新建非机动车棚二处，新装路灯53盏、监控摄像机22套、小区给排水管道安装及附属绿化提升等其它工程</t>
  </si>
  <si>
    <t>青阳县童埠及五溪新区人居环境提升项目（五溪风情街安置区）工程</t>
  </si>
  <si>
    <t>https://ggj.chizhou.gov.cn/front/bidcontent/9005001004/21b33c4e7560448a9f166aeaec6328a9</t>
  </si>
  <si>
    <t>包括主体及室外铺装、道路、绿化、亮化、雨污水等附属工程</t>
  </si>
  <si>
    <t>石台县丁香镇创业园职工周转房工程</t>
  </si>
  <si>
    <t>https://ggj.chizhou.gov.cn/front/bidcontent/9005001004/c851718743094637bba72c210ef25a4d</t>
  </si>
  <si>
    <t>7-10-3</t>
  </si>
  <si>
    <t>石台县丁香镇创业园职工周转房工程土建、安装部分工程</t>
  </si>
  <si>
    <t>池州市第一中学篮球场及运动场改造项目</t>
  </si>
  <si>
    <t>https://ggj.chizhou.gov.cn/front/bidcontent/9005001004/eec8d42deb114c05b5409d37c7c71d5b</t>
  </si>
  <si>
    <t>包括原地面拆除，篮球场硅PU地面、运动场塑胶跑道、人工草坪等工程。</t>
  </si>
  <si>
    <t>东至县尧北路改造（东段）一期工程</t>
  </si>
  <si>
    <t>https://ggj.chizhou.gov.cn/front/bidcontent/9005001004/7f4bc1cdfd9f4411b72e16ef576df30b</t>
  </si>
  <si>
    <t>报价区间：0.85-0.98，k:0.3，0.4，0.5</t>
  </si>
  <si>
    <t>包含道路工程、给排水工程、路灯及强电基础工程、交通工程等。</t>
  </si>
  <si>
    <t>东至县坦埠路及周边环境整治工程-坦埠路</t>
  </si>
  <si>
    <t>https://ggj.chizhou.gov.cn/front/bidcontent/9005001004/0ed8667f33d84dab8f28d70ab5b87fc0</t>
  </si>
  <si>
    <t>坦埠路北起梅城路，南至尧北路，道路红线 18 米，道路全长为257.679m，为一条南北走向的城市支路,设计为沥青混凝土路面</t>
  </si>
  <si>
    <t>池州市2021年普通国省干线公路危旧桥梁改造工程（Ⅰ标段）</t>
  </si>
  <si>
    <t>https://ggj.chizhou.gov.cn/front/bidcontent/9005001004/1ce931caf4684a7c91d6d61a37689839</t>
  </si>
  <si>
    <t>公路工程施工总承包、公路养护工程施工</t>
  </si>
  <si>
    <r>
      <rPr>
        <sz val="12"/>
        <color rgb="FF333333"/>
        <rFont val="宋体"/>
        <charset val="134"/>
      </rPr>
      <t>2</t>
    </r>
    <r>
      <rPr>
        <sz val="10.5"/>
        <color rgb="FF333333"/>
        <rFont val="宋体"/>
        <charset val="134"/>
      </rPr>
      <t>座危旧桥梁拆除重建</t>
    </r>
  </si>
  <si>
    <t>池州市2021年普通国省干线公路危旧桥梁改造工程（Ⅱ标段）</t>
  </si>
  <si>
    <t>https://ggj.chizhou.gov.cn/front/bidcontent/9005001004/e4c70f0a5cee434fbd3cd52d647ee663</t>
  </si>
  <si>
    <t>潘龙桥进行拆除重建，鲍村桥进行维修加固</t>
  </si>
  <si>
    <t>池州市2021年普通国省干线公路安全精细化提升工程（S225池太路、S234杨闪路、S228横九路、S222七景路）</t>
  </si>
  <si>
    <t>https://ggj.chizhou.gov.cn/front/bidcontent/9005001004/9f67d7e33d2d44afb7e00ba5cf59433d</t>
  </si>
  <si>
    <t>公路养护工程施工、交通工程</t>
  </si>
  <si>
    <t>陵阳镇美丽集镇项目集镇区道排改造工程</t>
  </si>
  <si>
    <t>https://ggj.chizhou.gov.cn/front/bidcontent/9005001004/f226884962c745ba9a136b07c123a717</t>
  </si>
  <si>
    <t>路基、路面、给水、雨污水管道及配套建设等附属工程</t>
  </si>
  <si>
    <t>石台县城市公益性公墓九龙桥建设工程</t>
  </si>
  <si>
    <t>https://ggj.chizhou.gov.cn/front/bidcontent/9005001004/4b36e30549d6415daa4292f8ec301a00</t>
  </si>
  <si>
    <t>公路工程施工总承包或桥梁工程专业承包</t>
  </si>
  <si>
    <t>3121工程1#标段</t>
  </si>
  <si>
    <t>https://ggj.chizhou.gov.cn/front/bidcontent/9005001004/0260929f7ebf4787b85a88bd031237f6</t>
  </si>
  <si>
    <t>7-10</t>
  </si>
  <si>
    <t>建筑附属工程设备采购安装</t>
  </si>
  <si>
    <t>池州市S219兰溪桥、S463石壁桥危旧桥梁改造工程</t>
  </si>
  <si>
    <t>https://ggj.chizhou.gov.cn/front/bidcontent/9005001004/08da2a955ac3430cb0dc8c4e222608d3</t>
  </si>
  <si>
    <t>公路工程施工总承包或者桥梁工程专业承包</t>
  </si>
  <si>
    <t>石台县东山至移民点公路升级改造工程</t>
  </si>
  <si>
    <t>https://ggj.chizhou.gov.cn/front/bidcontent/9005001004/a5c5ccdabbc64165a8be42bd12dc8445</t>
  </si>
  <si>
    <t>G318秋浦河大桥至池州高速西入口K460+511-K468+511（秋江街道）安全提升工程</t>
  </si>
  <si>
    <t>https://ggj.chizhou.gov.cn/front/bidcontent/9005001004/3f4945ac5dcf47c88331bbd7fcbe3c79</t>
  </si>
  <si>
    <t>公路工程施工总承包和公路养护工程施工</t>
  </si>
  <si>
    <t>石台县源头村河小流域水土保持综合治理工程</t>
  </si>
  <si>
    <t>https://ggj.chizhou.gov.cn/front/bidcontent/9005001004/854635663e894e99b980d1c9402cf2f4</t>
  </si>
  <si>
    <t>主要包括生态护岸、新建拦砂坝、沿河步道等村庄人居环境改善措施等</t>
  </si>
  <si>
    <t>石台县丁香镇丁香至库山岔路口公路升级改造工程</t>
  </si>
  <si>
    <t>https://ggj.chizhou.gov.cn/front/bidcontent/9005001004/761284f84f7945b992920dd23da621c3</t>
  </si>
  <si>
    <t>石台县2022年矶里路升级改造工程</t>
  </si>
  <si>
    <t>https://ggj.chizhou.gov.cn/front/bidcontent/9005001004/a99be385cbe84ee49b5f19fbaad18984</t>
  </si>
  <si>
    <t>池州市2021年普通国省干线公路危旧桥梁改造工程（Ⅲ标段S234红街桥、91米桥）</t>
  </si>
  <si>
    <t>https://ggj.chizhou.gov.cn/front/bidcontent/9005001004/4b16922f8a1d4cd4a864c1a1456d47ab</t>
  </si>
  <si>
    <t>石台县大演乡白石路升级改造工程</t>
  </si>
  <si>
    <t>https://ggj.chizhou.gov.cn/front/bidcontent/9005001004/6dfe43bf47a7479f8d78516094b2f69f</t>
  </si>
  <si>
    <t>石台县无名桥（香口大桥）改造工程</t>
  </si>
  <si>
    <t>https://ggj.chizhou.gov.cn/front/bidcontent/9005001004/52912054495940fc8dce985ebb51218f</t>
  </si>
  <si>
    <t>）改造工程，桥梁全长 106.04 米，桥梁全宽 7.5 米，桥型为 5-20m 预应力 T 梁桥</t>
  </si>
  <si>
    <t>池州经济技术开发区下小湖圩堤防洪除险加固工程</t>
  </si>
  <si>
    <t>https://ggj.chizhou.gov.cn/front/bidcontent/9005001004/657c5f1d16114976b2a6acbd8d7bd61a</t>
  </si>
  <si>
    <t>报价区间：0.85-0.97，k:0.1，0.2，0.3</t>
  </si>
  <si>
    <t>石台县张田河小流域水土保持综合治理工程</t>
  </si>
  <si>
    <t>https://ggj.chizhou.gov.cn/front/bidcontent/9005001004/cd1ccee72e6041e988f88acf6bbff9b8</t>
  </si>
  <si>
    <r>
      <rPr>
        <u/>
        <sz val="10.5"/>
        <color rgb="FF333333"/>
        <rFont val="宋体"/>
        <charset val="134"/>
      </rPr>
      <t>主要包括河（沟）道水生态工程、拦河堰、村庄人居环境整治、林草措施等</t>
    </r>
  </si>
  <si>
    <t>池州市石台县游泳馆项目</t>
  </si>
  <si>
    <t>https://ggj.chizhou.gov.cn/front/bidcontent/9005001004/486e76d6eab1455e9bc4fac8b7584592</t>
  </si>
  <si>
    <r>
      <rPr>
        <b/>
        <sz val="12"/>
        <color rgb="FF333333"/>
        <rFont val="宋体"/>
        <charset val="134"/>
      </rPr>
      <t>建筑工程施工总承包</t>
    </r>
  </si>
  <si>
    <r>
      <rPr>
        <u/>
        <sz val="12"/>
        <color rgb="FF333333"/>
        <rFont val="宋体"/>
        <charset val="134"/>
      </rPr>
      <t>包括游土建、安装、装饰、钢结构、室外附属工程、园林绿化等</t>
    </r>
  </si>
  <si>
    <t>大渡口镇新丰圩行政村新丰圩中心村美丽乡村建设工程</t>
  </si>
  <si>
    <t>https://ggj.chizhou.gov.cn/front/bidcontent/9005001004/a6d2e6c88d344ed6a745adb7a2ef1d61</t>
  </si>
  <si>
    <t>新建公厕2座、清水平台173m2、人行栈桥26m、村标1个、入口大门标志1个、弧形廊架1座、新建栈道180m、砼道路5300m2、荷兰砖铺装4271m2、花岗岩铺装420m2、植草砖停车位10个、乡村舞台1座、木质亭廊2座及排水、照明及其它单体建设内容</t>
  </si>
  <si>
    <t>七都镇乡村振兴产业园（七都镇小微企业创新创业示范基地）建设项目一期1#、2#厂房</t>
  </si>
  <si>
    <t>https://ggj.chizhou.gov.cn/front/bidcontent/9005001004/63bbd38a74d64c6a9e160cafdf2f6b25</t>
  </si>
  <si>
    <r>
      <rPr>
        <sz val="10.5"/>
        <color rgb="FF333333"/>
        <rFont val="宋体"/>
        <charset val="134"/>
      </rPr>
      <t>建筑工程施工总承包</t>
    </r>
  </si>
  <si>
    <r>
      <rPr>
        <sz val="10.5"/>
        <color rgb="FF333333"/>
        <rFont val="宋体"/>
        <charset val="134"/>
      </rPr>
      <t>单层钢结构厂房及附属道路绿化等工程</t>
    </r>
  </si>
  <si>
    <t>池州市2022年普通国省干线公路路面修复与预防性养护工程（S473横洪线K0+000-K36+660 段）</t>
  </si>
  <si>
    <t>https://ggj.chizhou.gov.cn/front/bidcontent/9005001004/009d746db2ee4e1a9b7ada77fcb5030f</t>
  </si>
  <si>
    <r>
      <rPr>
        <sz val="10.5"/>
        <color rgb="FF000000"/>
        <rFont val="宋体"/>
        <charset val="134"/>
      </rPr>
      <t>公路工程施工总承包</t>
    </r>
  </si>
  <si>
    <r>
      <rPr>
        <sz val="10.5"/>
        <color rgb="FF333333"/>
        <rFont val="宋体"/>
        <charset val="134"/>
      </rPr>
      <t>主要针对道路路面修复与预防性养护等</t>
    </r>
  </si>
  <si>
    <t>池州市石台中学多功能教学楼项目</t>
  </si>
  <si>
    <t>https://ggj.chizhou.gov.cn/front/bidcontent/9005001004/0e6cd94888bf4b18a19db4b0545ffaf8</t>
  </si>
  <si>
    <r>
      <rPr>
        <sz val="10.5"/>
        <color rgb="FF333333"/>
        <rFont val="宋体"/>
        <charset val="134"/>
      </rPr>
      <t>含大型土石方、建筑、装饰装修等工程</t>
    </r>
  </si>
  <si>
    <t>2022年东至县高标准农田建设项目10标段（香隅镇金鸡村、联峰村、合阜村）</t>
  </si>
  <si>
    <t>https://ggj.chizhou.gov.cn/front/bidcontent/9005001004/5c3b19f05b7b4b25a608bed6464319f8</t>
  </si>
  <si>
    <r>
      <rPr>
        <sz val="12"/>
        <color rgb="FF333333"/>
        <rFont val="宋体"/>
        <charset val="134"/>
      </rPr>
      <t>主要建设内容为沟渠清淤、山塘清淤加固、新建涵闸、渠道衬砌硬化、排水沟硬化 、新建砌石挡墙、机耕桥、拦水堰、田间道路工程等</t>
    </r>
  </si>
  <si>
    <t>2022年东至县高标准农田建设项目3标段（葛公镇同春村、葛公村、联塘村、大华村、留铺村）</t>
  </si>
  <si>
    <t>https://ggj.chizhou.gov.cn/front/bidcontent/9005001004/a8fb8224165340abb0c8f208ae32db41</t>
  </si>
  <si>
    <t>2022年东至县高标准农田建设项目2标段（胜利镇康桥村、城北村）</t>
  </si>
  <si>
    <t>https://ggj.chizhou.gov.cn/front/bidcontent/9005001004/cbfefbaeedec49d2bb92a919182e0065</t>
  </si>
  <si>
    <t>2022年东至县高标准农田建设项目8标段（花园乡新塘村、花园村、合步村、南溪村）</t>
  </si>
  <si>
    <t>https://ggj.chizhou.gov.cn/front/bidcontent/9005001004/888604db025f4baea4fbfabb08b2f046</t>
  </si>
  <si>
    <t>2022年东至县高标准农田建设项目4标段（张溪镇蒲塘村、土桥村、候店村）</t>
  </si>
  <si>
    <t>https://ggj.chizhou.gov.cn/front/bidcontent/9005001004/b844df80e3d64d45a24dc5c957d23d5b</t>
  </si>
  <si>
    <t>2022年东至县高标准农田建设项目7标段（东流镇密丰村、长安村）</t>
  </si>
  <si>
    <t>https://ggj.chizhou.gov.cn/front/bidcontent/9005001004/95dd44ce00ee41ab97da906538bc146a</t>
  </si>
  <si>
    <t>2022年东至县高标准农田建设项目11标段（尧渡镇管山村、建东村、黄泥村、东村村）</t>
  </si>
  <si>
    <t>https://ggj.chizhou.gov.cn/front/bidcontent/9005001004/3e01264703ba462dbc5d5409fdfad9a3</t>
  </si>
  <si>
    <t>2022年东至县高标准农田建设项目12标段（尧渡镇毛田村）</t>
  </si>
  <si>
    <t>https://ggj.chizhou.gov.cn/front/bidcontent/9005001004/1702dcba4e314878adeb30d3b543dc21</t>
  </si>
  <si>
    <t>2022年东至县高标准农田建设项目5标段（张溪镇历山村、坦埠村、兰田村）</t>
  </si>
  <si>
    <t>https://ggj.chizhou.gov.cn/front/bidcontent/9005001004/bdc1b21536ca48e383de790b2b978ae8</t>
  </si>
  <si>
    <t>石台县马村片区城中村旧城改造安置房（老党校地块）</t>
  </si>
  <si>
    <t>https://ggj.chizhou.gov.cn/front/bidcontent/9005001004/24371fe80e2d4245b9e65c903cf41398</t>
  </si>
  <si>
    <r>
      <rPr>
        <sz val="10.5"/>
        <color rgb="FF333333"/>
        <rFont val="宋体"/>
        <charset val="134"/>
      </rPr>
      <t>主要包括</t>
    </r>
    <r>
      <rPr>
        <sz val="10.5"/>
        <color rgb="FF333333"/>
        <rFont val="Times New Roman"/>
        <charset val="134"/>
      </rPr>
      <t>1#</t>
    </r>
    <r>
      <rPr>
        <sz val="10.5"/>
        <color rgb="FF333333"/>
        <rFont val="宋体"/>
        <charset val="134"/>
      </rPr>
      <t>、</t>
    </r>
    <r>
      <rPr>
        <sz val="10.5"/>
        <color rgb="FF333333"/>
        <rFont val="Times New Roman"/>
        <charset val="134"/>
      </rPr>
      <t>2#</t>
    </r>
    <r>
      <rPr>
        <sz val="10.5"/>
        <color rgb="FF333333"/>
        <rFont val="宋体"/>
        <charset val="134"/>
      </rPr>
      <t>、</t>
    </r>
    <r>
      <rPr>
        <sz val="10.5"/>
        <color rgb="FF333333"/>
        <rFont val="Times New Roman"/>
        <charset val="134"/>
      </rPr>
      <t>3#</t>
    </r>
    <r>
      <rPr>
        <sz val="10.5"/>
        <color rgb="FF333333"/>
        <rFont val="宋体"/>
        <charset val="134"/>
      </rPr>
      <t>土建、装饰、水电、消防及室外附属等</t>
    </r>
  </si>
  <si>
    <t>池州市 G330（K774+371-K775+791段）公路交通安全提升工程</t>
  </si>
  <si>
    <t>https://ggj.chizhou.gov.cn/front/bidcontent/9005001004/c3524a373d1048728b15da085024fbfd</t>
  </si>
  <si>
    <r>
      <rPr>
        <sz val="10.5"/>
        <color rgb="FF333333"/>
        <rFont val="宋体"/>
        <charset val="134"/>
      </rPr>
      <t>公路工程施工总承包</t>
    </r>
  </si>
  <si>
    <r>
      <rPr>
        <sz val="10.5"/>
        <color rgb="FF000000"/>
        <rFont val="宋体"/>
        <charset val="134"/>
      </rPr>
      <t>项目定位为现状道路附属工程提升，在维持原有的线型技术指标下对该路段进行局部路段拓宽改造，对原有路口进行渠化改造</t>
    </r>
  </si>
  <si>
    <t>石台县马村片区城中村旧城改造安置房（石台县委宿舍A地块）</t>
  </si>
  <si>
    <t>https://ggj.chizhou.gov.cn/front/bidcontent/9005001004/f72d40496eb94611beb45d14879db733</t>
  </si>
  <si>
    <r>
      <rPr>
        <sz val="10.5"/>
        <color rgb="FF333333"/>
        <rFont val="宋体"/>
        <charset val="134"/>
      </rPr>
      <t>主要包括地下室、</t>
    </r>
    <r>
      <rPr>
        <sz val="10.5"/>
        <color rgb="FF333333"/>
        <rFont val="Times New Roman"/>
        <charset val="134"/>
      </rPr>
      <t>1#</t>
    </r>
    <r>
      <rPr>
        <sz val="10.5"/>
        <color rgb="FF333333"/>
        <rFont val="宋体"/>
        <charset val="134"/>
      </rPr>
      <t>、</t>
    </r>
    <r>
      <rPr>
        <sz val="10.5"/>
        <color rgb="FF333333"/>
        <rFont val="Times New Roman"/>
        <charset val="134"/>
      </rPr>
      <t>2#</t>
    </r>
    <r>
      <rPr>
        <sz val="10.5"/>
        <color rgb="FF333333"/>
        <rFont val="宋体"/>
        <charset val="134"/>
      </rPr>
      <t>土建、装饰、水电、消防、基坑支护及室外附属等</t>
    </r>
  </si>
  <si>
    <t>安徽晶纭先进材料有限责任公司厂区工程</t>
  </si>
  <si>
    <t>https://ggj.chizhou.gov.cn/front/bidcontent/9005001004/18234ae2da3d42f98ddbf6fa84afa426</t>
  </si>
  <si>
    <r>
      <rPr>
        <sz val="10.5"/>
        <color rgb="FF333333"/>
        <rFont val="宋体"/>
        <charset val="134"/>
      </rPr>
      <t>主要包含土建装饰、门窗、水电安装、消防工程等</t>
    </r>
  </si>
  <si>
    <t>九华大道绿化提升、六七房里东侧沿线景观提升工程</t>
  </si>
  <si>
    <t>https://ggj.chizhou.gov.cn/front/bidcontent/9005001004/885e31b2237c40409965e846a3b54df4</t>
  </si>
  <si>
    <t>2.4-13.2</t>
  </si>
  <si>
    <r>
      <rPr>
        <sz val="10.5"/>
        <color rgb="FF333333"/>
        <rFont val="宋体"/>
        <charset val="134"/>
      </rPr>
      <t>工程包括绿化等景观提升及人行道修复等</t>
    </r>
  </si>
  <si>
    <t>石台县丁香镇白亭子至库山村委会双车道公路工程</t>
  </si>
  <si>
    <t>https://ggj.chizhou.gov.cn/front/bidcontent/9005001004/a74e10a8a7274797a083e1484b544dde</t>
  </si>
  <si>
    <t>甲地国际商贸城消防整改工程</t>
  </si>
  <si>
    <t>https://ggj.chizhou.gov.cn/front/bidcontent/9005001004/fa2ff1da7518412dbdf4c3c471387a0f</t>
  </si>
  <si>
    <t>6-10</t>
  </si>
  <si>
    <t>消防设施工程专业承包和建筑工程施工总承包</t>
  </si>
  <si>
    <r>
      <rPr>
        <sz val="10.5"/>
        <color rgb="FF333333"/>
        <rFont val="宋体"/>
        <charset val="134"/>
      </rPr>
      <t>专业市场综合楼一至八号楼、精品卖场、风情街一至三号楼消防整改</t>
    </r>
    <r>
      <rPr>
        <sz val="10.5"/>
        <color rgb="FF333333"/>
        <rFont val="宋体"/>
        <charset val="134"/>
      </rPr>
      <t>;维修甲地国际商贸城内的消火栓环管及喷淋室外管道和阀门井;室外火灾报警线路更换及改造等</t>
    </r>
  </si>
  <si>
    <t>池州市2022年普通国省干线公路灾害防治工程（S473横洪线K0+000～K36+660段）</t>
  </si>
  <si>
    <t>https://ggj.chizhou.gov.cn/front/bidcontent/9005001004/63ceac231f9e4cbc9e5a71a28f2888c9</t>
  </si>
  <si>
    <t>公路工程施工总承包和地质灾害治理工程施工</t>
  </si>
  <si>
    <r>
      <rPr>
        <sz val="10.5"/>
        <color rgb="FF333333"/>
        <rFont val="宋体"/>
        <charset val="134"/>
      </rPr>
      <t>主要针对道路</t>
    </r>
    <r>
      <rPr>
        <sz val="10.5"/>
        <color rgb="FF000000"/>
        <rFont val="宋体"/>
        <charset val="134"/>
      </rPr>
      <t>路基边坡灾害治理、路基排水等</t>
    </r>
  </si>
  <si>
    <t>池州市2022年普通国省干线公路安全精细化提升工程（S473横洪线K0+000～K36+660段）</t>
  </si>
  <si>
    <t>https://ggj.chizhou.gov.cn/front/bidcontent/9005001004/10250cd2938e40f08c3c8a1929d06bb7</t>
  </si>
  <si>
    <r>
      <rPr>
        <sz val="10.5"/>
        <color rgb="FF333333"/>
        <rFont val="宋体"/>
        <charset val="134"/>
      </rPr>
      <t>要针对道路交通安全设施进行提升、改造等</t>
    </r>
  </si>
  <si>
    <t>凤鸣大道渠良好水体保护与修复工程（三标段）</t>
  </si>
  <si>
    <t>https://ggj.chizhou.gov.cn/front/bidcontent/9005001004/6ba6d9d3b3c94015b99b151db6648f49</t>
  </si>
  <si>
    <t>东至龙泉河流域（泥溪段）水环境综合治理工程（二期）</t>
  </si>
  <si>
    <t>https://ggj.chizhou.gov.cn/front/bidcontent/9005001004/b69c33c9aa1943b08cb9fc87626b5765</t>
  </si>
  <si>
    <t>综合，报价区间：0.81-0.98，k:0.3，0.4，0.5</t>
  </si>
  <si>
    <t>水利水电工程施工总承包和市政公用工程施工总承包</t>
  </si>
  <si>
    <t>池州市2022年普通国省干线公路危旧桥梁改造及预防性养护工程(Ⅲ标段）（红旗桥、南山崖桥、新开大桥、杨桥中桥、小石山桥、江口养殖厂桥、九华河左桥、九华河右桥、沟汀桥）</t>
  </si>
  <si>
    <t>https://ggj.chizhou.gov.cn/front/bidcontent/9005001004/e04d958f9a744a9e92c8277ca75ba6e6</t>
  </si>
  <si>
    <t>池州市2022年普通国省干线公路危旧桥梁改造及预防性养护工程(Ⅰ标段）（桥庵桥、四道桥、芙蓉桥、瓦岗寨桥、鹰嘴石桥、老虎嘴桥）</t>
  </si>
  <si>
    <t>https://ggj.chizhou.gov.cn/front/bidcontent/9005001004/70ffc753479d4d8d8d5aaa6ecb2a7f91</t>
  </si>
  <si>
    <t>池州市2022年普通国省干线公路危旧桥梁改造及预防性养护工程（Ⅱ标段）（向阳桥、跃进桥、立新桥）</t>
  </si>
  <si>
    <t>https://ggj.chizhou.gov.cn/front/bidcontent/9005001004/7bd2c3195a934e32b4a3fbbe61abb658</t>
  </si>
  <si>
    <t>公路工程施工总承包、公路养护工程</t>
  </si>
  <si>
    <r>
      <rPr>
        <u/>
        <sz val="10.5"/>
        <color rgb="FF333333"/>
        <rFont val="宋体"/>
        <charset val="134"/>
      </rPr>
      <t>包括向阳桥、跃进桥、立新桥三座桥梁进行维修加固</t>
    </r>
  </si>
  <si>
    <t>2022年贵池区秋江街道高标准农田建设项目（2标段）</t>
  </si>
  <si>
    <t>https://ggj.chizhou.gov.cn/front/bidcontent/9005001004/ef77f334a84a455b8ded387eac415792</t>
  </si>
  <si>
    <r>
      <rPr>
        <sz val="10.5"/>
        <color rgb="FF333333"/>
        <rFont val="宋体"/>
        <charset val="134"/>
      </rPr>
      <t>水利水电工程施工总承包</t>
    </r>
  </si>
  <si>
    <r>
      <rPr>
        <u/>
        <sz val="10.5"/>
        <color rgb="FF333333"/>
        <rFont val="宋体"/>
        <charset val="134"/>
      </rPr>
      <t>土地平整14.2亩，土壤改良394.2亩，泵站改造5座，沟渠清淤衬砌7.98公里，新建水闸3座，新建农用桥6座，田间道路6.74公里，购安杀虫灯30台</t>
    </r>
  </si>
  <si>
    <t>2022年贵池区涓桥镇高标准农田建设项目（3标段）</t>
  </si>
  <si>
    <t>https://ggj.chizhou.gov.cn/front/bidcontent/9005001004/c9d84aaf51f048d993cd5b15b63722d2</t>
  </si>
  <si>
    <r>
      <rPr>
        <u/>
        <sz val="10.5"/>
        <color rgb="FF333333"/>
        <rFont val="宋体"/>
        <charset val="134"/>
      </rPr>
      <t>土地平整68亩，土壤改良68亩，山塘整治19座，沟渠清淤衬砌14.59公里，新建农用桥2座，田间道路3.74公里，购安杀虫灯10台</t>
    </r>
  </si>
  <si>
    <t>2022年贵池区梅龙街道高标准农田建设项目（1标段）</t>
  </si>
  <si>
    <t>https://ggj.chizhou.gov.cn/front/bidcontent/9005001004/6caa124da1e540b795c8bbb41ec6896f</t>
  </si>
  <si>
    <r>
      <rPr>
        <u/>
        <sz val="10.5"/>
        <color rgb="FF333333"/>
        <rFont val="宋体"/>
        <charset val="134"/>
      </rPr>
      <t>土壤改良150亩，沟渠清淤衬砌4.86公里，新建水闸3座，新建农用桥12座，田间道路2.2公里</t>
    </r>
  </si>
  <si>
    <t>2022年贵池区墩上街道高标准农田建设项目（5标段）</t>
  </si>
  <si>
    <t>https://ggj.chizhou.gov.cn/front/bidcontent/9005001004/e24700b073f14ef49a4c11a09c65417c</t>
  </si>
  <si>
    <r>
      <rPr>
        <u/>
        <sz val="10.5"/>
        <color rgb="FF333333"/>
        <rFont val="宋体"/>
        <charset val="134"/>
      </rPr>
      <t>土壤改良600亩，山塘整治2座，新建小型拦河坝2座，沟渠清淤衬砌8.09公里，新建渡槽 2座，新建农用桥2座，田间道路4.95公里</t>
    </r>
  </si>
  <si>
    <t>2022年贵池区牌楼镇高标准农田建设项目（4标段）</t>
  </si>
  <si>
    <t>https://ggj.chizhou.gov.cn/front/bidcontent/9005001004/ee18af9e1a2b477aa2ca7be2b6474c74</t>
  </si>
  <si>
    <r>
      <rPr>
        <u/>
        <sz val="10.5"/>
        <color rgb="FF333333"/>
        <rFont val="宋体"/>
        <charset val="134"/>
      </rPr>
      <t>土地平整23.4亩，土壤改良200亩，沟渠清淤衬砌6.92公里，新建渡槽1座，新建农用桥3座，田间道路4公里，购安杀虫灯20台</t>
    </r>
  </si>
  <si>
    <t>2022年贵池区梅村镇高标准农田建设项目（6标段）</t>
  </si>
  <si>
    <t>https://ggj.chizhou.gov.cn/front/bidcontent/9005001004/1fc066baee454e7881b275d3b7497cf7</t>
  </si>
  <si>
    <r>
      <rPr>
        <u/>
        <sz val="11.25"/>
        <color rgb="FF333333"/>
        <rFont val="宋体"/>
        <charset val="134"/>
      </rPr>
      <t>土地平整120亩，土壤改良750亩，山塘整治3座，沟渠清淤衬砌8.03公里，新建渡槽2座，新建农用桥2座，田间道路2.61公里，购安杀虫灯10台</t>
    </r>
  </si>
  <si>
    <t>2022年贵池区棠溪镇高标准农田建设项目（9标段）</t>
  </si>
  <si>
    <t>https://ggj.chizhou.gov.cn/front/bidcontent/9005001004/95f980db092d41e4b57e5807668d0328</t>
  </si>
  <si>
    <r>
      <rPr>
        <sz val="10.5"/>
        <color rgb="FF333333"/>
        <rFont val="宋体"/>
        <charset val="134"/>
      </rPr>
      <t>土壤改良400亩，新建小型拦河坝2座，泵站改造1座，沟渠清淤衬砌16.57公里，新建农用桥2座，田间道路1.44公里，购安杀虫灯30台</t>
    </r>
  </si>
  <si>
    <t>2022年贵池区里山街道高标准农田建设项目（8标段）</t>
  </si>
  <si>
    <t>https://ggj.chizhou.gov.cn/front/bidcontent/9005001004/fc3a37f2edbd40d1b4ecbc08b4b827a3</t>
  </si>
  <si>
    <r>
      <rPr>
        <sz val="10.5"/>
        <color rgb="FF333333"/>
        <rFont val="宋体"/>
        <charset val="134"/>
      </rPr>
      <t>土壤改良477亩，沟渠清淤衬砌12.19公里，新建渡槽1座，新建农用桥3座，田间道路1.35公里，购安杀虫灯20台</t>
    </r>
  </si>
  <si>
    <t>2022年贵池区梅街镇高标准农田建设项目（7标段）</t>
  </si>
  <si>
    <t>https://ggj.chizhou.gov.cn/front/bidcontent/9005001004/269ebbbf2e2c4a30ab1c2644ac7c7847</t>
  </si>
  <si>
    <r>
      <rPr>
        <sz val="10.5"/>
        <color rgb="FF333333"/>
        <rFont val="宋体"/>
        <charset val="134"/>
      </rPr>
      <t>土地平整85亩，土壤改良85亩，沟渠清淤衬砌5.66公里，新建渡槽2座，新建农用桥2座，田间道路2.67公里，购安杀虫灯20台</t>
    </r>
  </si>
  <si>
    <t>2022年贵池区马衙街道高标准农田建设项目（10标段）</t>
  </si>
  <si>
    <t>https://ggj.chizhou.gov.cn/front/bidcontent/9005001004/82a9cde157db4790860c731036c76a8e</t>
  </si>
  <si>
    <r>
      <rPr>
        <u/>
        <sz val="11.25"/>
        <color rgb="FF333333"/>
        <rFont val="宋体"/>
        <charset val="134"/>
      </rPr>
      <t>土壤改良600亩，山塘整治2座，新建小型拦河坝2座，沟渠清淤衬砌8.09公里，新建渡槽2座，新建农用桥2座，田间道路4.95公里，购安杀虫灯16台</t>
    </r>
  </si>
  <si>
    <t>2022年贵池区殷汇镇高标准农田建设项目（11标段）</t>
  </si>
  <si>
    <t>https://ggj.chizhou.gov.cn/front/bidcontent/9005001004/7dcdf081e2b4407ebfe5c7d7d8fe482c</t>
  </si>
  <si>
    <r>
      <rPr>
        <u/>
        <sz val="11.25"/>
        <color rgb="FF333333"/>
        <rFont val="宋体"/>
        <charset val="134"/>
      </rPr>
      <t>土壤改良300亩，山塘整治1座，泵站改造1座，沟渠清淤衬砌7.24公里，田间道路3.62公里，购安杀虫灯40台</t>
    </r>
  </si>
  <si>
    <t>池州市2022年普通国省干线公路（省道部分）灾害防治工程（Ⅰ标段S222七景路）</t>
  </si>
  <si>
    <t>https://ggj.chizhou.gov.cn/front/bidcontent/9005001004/0f3b851191b54363ba8c5646cbd29f9d</t>
  </si>
  <si>
    <t>池州市2022年普通国省干线公路（省道部分）灾害防治工程（Ⅱ标段S234杨闪路）</t>
  </si>
  <si>
    <t>https://ggj.chizhou.gov.cn/front/bidcontent/9005001004/964207fb243147bb8ff27158e5b6d89e</t>
  </si>
  <si>
    <t>池州市2022年普通国省干线公路（省道部分）灾害防治工程（Ⅲ标段S219青美路）</t>
  </si>
  <si>
    <t>https://ggj.chizhou.gov.cn/front/bidcontent/9005001004/f7d2cb109f4c49fc90c73891ee5135c5</t>
  </si>
  <si>
    <t>池州市2022年普通国省干线公路（省道部分）灾害防治工程（Ⅳ标段S228横九路）</t>
  </si>
  <si>
    <t>https://ggj.chizhou.gov.cn/front/bidcontent/9005001004/8494914071ce4705a4392654aee7b349</t>
  </si>
  <si>
    <t>天华路（莲花路至四中南侧院墙段）道排工程 </t>
  </si>
  <si>
    <t>https://ggj.chizhou.gov.cn/front/bidcontent/9005001004/866d6c15d7bd4e20a03037752370442a</t>
  </si>
  <si>
    <t>0.5-15</t>
  </si>
  <si>
    <r>
      <rPr>
        <sz val="10.5"/>
        <color rgb="FF333333"/>
        <rFont val="宋体"/>
        <charset val="134"/>
      </rPr>
      <t>项目计划新建道路长约</t>
    </r>
    <r>
      <rPr>
        <sz val="10.5"/>
        <color rgb="FF333333"/>
        <rFont val="Times New Roman"/>
        <charset val="134"/>
      </rPr>
      <t>480</t>
    </r>
    <r>
      <rPr>
        <sz val="10.5"/>
        <color rgb="FF333333"/>
        <rFont val="宋体"/>
        <charset val="134"/>
      </rPr>
      <t>米，宽约</t>
    </r>
    <r>
      <rPr>
        <sz val="10.5"/>
        <color rgb="FF333333"/>
        <rFont val="Times New Roman"/>
        <charset val="134"/>
      </rPr>
      <t>36</t>
    </r>
    <r>
      <rPr>
        <sz val="10.5"/>
        <color rgb="FF333333"/>
        <rFont val="宋体"/>
        <charset val="134"/>
      </rPr>
      <t>米，建设雨污水管网长约</t>
    </r>
    <r>
      <rPr>
        <sz val="10.5"/>
        <color rgb="FF333333"/>
        <rFont val="Times New Roman"/>
        <charset val="134"/>
      </rPr>
      <t>1000</t>
    </r>
    <r>
      <rPr>
        <sz val="10.5"/>
        <color rgb="FF333333"/>
        <rFont val="宋体"/>
        <charset val="134"/>
      </rPr>
      <t>米，配套建设绿化、绿灯、交通标牌、标线、信号灯、电子警察等附属工程</t>
    </r>
  </si>
  <si>
    <t>青阳开发区丁桥路工程</t>
  </si>
  <si>
    <t>https://ggj.chizhou.gov.cn/front/bidcontent/9005001004/a9295cf82dde42e585dc65c05201efed</t>
  </si>
  <si>
    <r>
      <rPr>
        <sz val="10.5"/>
        <color rgb="FF333333"/>
        <rFont val="宋体"/>
        <charset val="134"/>
      </rPr>
      <t>有道路、雨污水、绿化、亮化及交通标线等工程</t>
    </r>
  </si>
  <si>
    <t>丁桥镇美丽集镇建设集镇改造工程（二次）</t>
  </si>
  <si>
    <t>https://ggj.chizhou.gov.cn/front/bidcontent/9005001004/4ae81a26a1a8464b9aa80042228c3e76</t>
  </si>
  <si>
    <r>
      <rPr>
        <sz val="10.5"/>
        <color rgb="FF333333"/>
        <rFont val="宋体"/>
        <charset val="134"/>
      </rPr>
      <t>拟建区域丁桥镇美丽集镇建设集镇改造工程</t>
    </r>
  </si>
  <si>
    <t>七都镇乡村振兴产业园（七都镇小微企业创新创业示范基地）建设项目一期3#厂房</t>
  </si>
  <si>
    <t>https://ggj.chizhou.gov.cn/front/bidcontent/9005001004/fc73f1d6db0e46b780d025c19d9b18f1</t>
  </si>
  <si>
    <r>
      <rPr>
        <sz val="10.5"/>
        <color rgb="FF333333"/>
        <rFont val="宋体"/>
        <charset val="134"/>
      </rPr>
      <t>单层钢结构厂房等工程</t>
    </r>
  </si>
  <si>
    <t>正义路、大渡口路北段、葛公路道路工程</t>
  </si>
  <si>
    <t>https://ggj.chizhou.gov.cn/front/bidcontent/9005001004/eb386652915e4122af2fa7a0ec546e02</t>
  </si>
  <si>
    <r>
      <rPr>
        <sz val="10.5"/>
        <color rgb="FF333333"/>
        <rFont val="宋体"/>
        <charset val="134"/>
      </rPr>
      <t>包括道路工程、排水管道、交通工程（不含监控）、照明工程及景观绿化工程等</t>
    </r>
  </si>
  <si>
    <t>木镇镇全民健身文化休闲广场项目</t>
  </si>
  <si>
    <t>https://ggj.chizhou.gov.cn/front/bidcontent/9005001004/91490b657ef148ac980cea14fc66e4c3</t>
  </si>
  <si>
    <r>
      <rPr>
        <u/>
        <sz val="10.5"/>
        <color rgb="FF333333"/>
        <rFont val="宋体"/>
        <charset val="134"/>
      </rPr>
      <t>本次项目一个旗台，一个篮球场地，二个羽毛球场地，四个乒乓球场地，一座公厕，一个</t>
    </r>
    <r>
      <rPr>
        <u/>
        <sz val="10.5"/>
        <color rgb="FF333333"/>
        <rFont val="Times New Roman"/>
        <charset val="134"/>
      </rPr>
      <t>200m</t>
    </r>
    <r>
      <rPr>
        <u/>
        <sz val="10.5"/>
        <color rgb="FF333333"/>
        <rFont val="宋体"/>
        <charset val="134"/>
      </rPr>
      <t>环形跑道田径场，环形跑道内设置一个</t>
    </r>
    <r>
      <rPr>
        <u/>
        <sz val="10.5"/>
        <color rgb="FF333333"/>
        <rFont val="Times New Roman"/>
        <charset val="134"/>
      </rPr>
      <t>5</t>
    </r>
    <r>
      <rPr>
        <u/>
        <sz val="10.5"/>
        <color rgb="FF333333"/>
        <rFont val="宋体"/>
        <charset val="134"/>
      </rPr>
      <t>人制足球场。购置相关配套设备，配套建设给排水、供配电、绿化、停车场等附属工程</t>
    </r>
  </si>
  <si>
    <t>九华山风景区九华雅苑小区改造工程</t>
  </si>
  <si>
    <t>https://ggj.chizhou.gov.cn/front/bidcontent/9005001004/e2b6f2e0342242a59723d2ff04673eed</t>
  </si>
  <si>
    <t>九华雅苑小区室外环境景观提升、路牙石更换、沥青摊铺、检查井及雨水口的新建及提升加固、钢筋混凝土管铺设、外墙装饰改造、屋面维修、小区保安室改造</t>
  </si>
  <si>
    <t>2022年九华山风景区农村公路养护工程</t>
  </si>
  <si>
    <t>https://ggj.chizhou.gov.cn/front/bidcontent/9005001004/74ef545459b645078e2413cb1a1d5467</t>
  </si>
  <si>
    <r>
      <rPr>
        <b/>
        <sz val="10.5"/>
        <color rgb="FF333333"/>
        <rFont val="宋体"/>
        <charset val="134"/>
      </rPr>
      <t>公路工程施工总承包</t>
    </r>
  </si>
  <si>
    <t>石台县2022年农村公路养护工程（仁七路（伍石路）预防性养护工程）</t>
  </si>
  <si>
    <t>https://ggj.chizhou.gov.cn/front/bidcontent/9005001004/1b21ec41ad034442899cb00ea97a2df7</t>
  </si>
  <si>
    <t>青阳县黄泥河小流域水土保持综合治理工程</t>
  </si>
  <si>
    <t>https://ggj.chizhou.gov.cn/front/bidcontent/9005001004/bef82c66f3f1495eb737d8e469b7a239</t>
  </si>
  <si>
    <t>报价区间：0.78-0.98，k:0.1，0.2，0.3</t>
  </si>
  <si>
    <r>
      <rPr>
        <u/>
        <sz val="12"/>
        <color rgb="FF333333"/>
        <rFont val="宋体"/>
        <charset val="134"/>
      </rPr>
      <t>沟道治理、生态湿地、人行路、其他等；林草措施包括：岸坡绿化、人行路绿化、生态湿地</t>
    </r>
    <r>
      <rPr>
        <sz val="12"/>
        <color rgb="FF333333"/>
        <rFont val="宋体"/>
        <charset val="134"/>
      </rPr>
      <t>等</t>
    </r>
  </si>
  <si>
    <t>杜村乡美丽集镇建设主干道升级改造工程 </t>
  </si>
  <si>
    <t>https://ggj.chizhou.gov.cn/front/bidcontent/9005001004/dfe7ffac1e8a49b09d53ac0a3432d6a6</t>
  </si>
  <si>
    <r>
      <rPr>
        <u/>
        <sz val="10.5"/>
        <color rgb="FF333333"/>
        <rFont val="宋体"/>
        <charset val="134"/>
      </rPr>
      <t>包括拆除工程、道路工程、雨污水工程、交通工程、路灯工程等</t>
    </r>
  </si>
  <si>
    <t>九华山中心学校优质均衡发展提升工程-场内改造</t>
  </si>
  <si>
    <t>https://ggj.chizhou.gov.cn/front/bidcontent/9005001004/316190a3bbb64756b82211865922ae3c</t>
  </si>
  <si>
    <r>
      <rPr>
        <sz val="10.5"/>
        <color rgb="FF333333"/>
        <rFont val="宋体"/>
        <charset val="134"/>
      </rPr>
      <t>扩建校内停车场、改扩建校内道路、学生活动广场</t>
    </r>
  </si>
  <si>
    <t>青阳县锦绣路（望华路至天柱路段）道排工程 </t>
  </si>
  <si>
    <t>https://ggj.chizhou.gov.cn/front/bidcontent/9005001004/bdf76aee46c94347ba5912fc98098b9c</t>
  </si>
  <si>
    <r>
      <rPr>
        <sz val="10.5"/>
        <color rgb="FF333333"/>
        <rFont val="宋体"/>
        <charset val="134"/>
      </rPr>
      <t xml:space="preserve">新建主干道长约 </t>
    </r>
    <r>
      <rPr>
        <sz val="10.5"/>
        <color rgb="FF333333"/>
        <rFont val="Times New Roman"/>
        <charset val="134"/>
      </rPr>
      <t>0.28km</t>
    </r>
    <r>
      <rPr>
        <sz val="10.5"/>
        <color rgb="FF333333"/>
        <rFont val="宋体"/>
        <charset val="134"/>
      </rPr>
      <t xml:space="preserve">（沥青砼路面），红线宽度约 </t>
    </r>
    <r>
      <rPr>
        <sz val="10.5"/>
        <color rgb="FF333333"/>
        <rFont val="Times New Roman"/>
        <charset val="134"/>
      </rPr>
      <t>24m</t>
    </r>
    <r>
      <rPr>
        <sz val="10.5"/>
        <color rgb="FF333333"/>
        <rFont val="宋体"/>
        <charset val="134"/>
      </rPr>
      <t>，配套建设雨污水管道等附属工程</t>
    </r>
  </si>
  <si>
    <t>池州市东至路污水管道改造工程二期</t>
  </si>
  <si>
    <t>https://ggj.chizhou.gov.cn/front/bidcontent/9005001004/2aee03f4781f47219557e7bbb72820c6</t>
  </si>
  <si>
    <r>
      <rPr>
        <sz val="10.5"/>
        <color rgb="FF333333"/>
        <rFont val="宋体"/>
        <charset val="134"/>
      </rPr>
      <t>包括沉井施工、顶管施工、污水检查井施工、现状管线破除恢复、现状检查井破除恢复、管线迁改保护、道路破除恢复、人行道破除恢复、绿化移栽恢复等工程</t>
    </r>
  </si>
  <si>
    <t>西苑路（含花溪路）道路建设工程</t>
  </si>
  <si>
    <t>https://ggj.chizhou.gov.cn/front/bidcontent/9005001004/c84864e77a28422cb1a2314105d826de</t>
  </si>
  <si>
    <r>
      <rPr>
        <sz val="10.5"/>
        <color rgb="FF333333"/>
        <rFont val="宋体"/>
        <charset val="134"/>
      </rPr>
      <t>西苑路（含花溪路）道路建设工程，工程道路全长471.67米，其中，西苑路段全长239.63米，道路红线宽24米，采用4.5米人行道+15米机非混行车道+4.5米人行道断面形式建设；花溪路段全长232.04米，道路红线宽18米，采用2米人行道+14米机非混行车道+2米人行道断面形式建设。并配套建设照明、绿化、道路名牌及交通指示、环卫设施、各类管网等</t>
    </r>
  </si>
  <si>
    <t>2022年九华山风景区农村公路提质改造工程—联网路建设项目</t>
  </si>
  <si>
    <t>https://ggj.chizhou.gov.cn/front/bidcontent/9005001004/4e50fcd311cc4be6b0c0a53152b2ac8c</t>
  </si>
  <si>
    <t>五溪山色文化旅游度假区扩建项目文宗古村景观绿化工程</t>
  </si>
  <si>
    <t>https://ggj.chizhou.gov.cn/front/bidcontent/9005001004/50e9a20e6b3241e8861ef95330c05e0a</t>
  </si>
  <si>
    <r>
      <rPr>
        <sz val="10.5"/>
        <color rgb="FF333333"/>
        <rFont val="宋体"/>
        <charset val="134"/>
      </rPr>
      <t>包含硬质景观、绿化、结构、给排水、电气及功能性照明</t>
    </r>
  </si>
  <si>
    <t>丁香镇库山虎积林1000亩香榧基地建设（观摩点）项目</t>
  </si>
  <si>
    <t>https://ggj.chizhou.gov.cn/front/bidcontent/9005001004/0e2662233c704bbf9cddfdcd8c9426ca</t>
  </si>
  <si>
    <r>
      <rPr>
        <u/>
        <sz val="10.5"/>
        <color rgb="FF333333"/>
        <rFont val="宋体"/>
        <charset val="134"/>
      </rPr>
      <t>道路铺设及硬化、浆砌石挡墙、砼排水沟、涵管、蓄水池等工程</t>
    </r>
  </si>
  <si>
    <t>青阳县2022年老旧小区改造工程（龙山花园小区）</t>
  </si>
  <si>
    <t>https://ggj.chizhou.gov.cn/front/bidcontent/9005001004/11f267c0245d4c368cbb43707262f12e</t>
  </si>
  <si>
    <r>
      <rPr>
        <sz val="10.5"/>
        <color rgb="FF333333"/>
        <rFont val="宋体"/>
        <charset val="134"/>
      </rPr>
      <t>建设内容为道路、雨污水、绿化、交通标线、外墙面翻修、屋面翻修、挡土墙改造、水池及花池池壁改造、给水及消火栓系统、弱电及监控系统、车辆道闸系统、照明系统等工程</t>
    </r>
  </si>
  <si>
    <t>石台县全域旅游基础设施提升项目（一期）EPC总承包项目</t>
  </si>
  <si>
    <t>https://ggj.chizhou.gov.cn/front/bidcontent/9005001004/4d42cd0e4928481aa35451b9b75e0ce3</t>
  </si>
  <si>
    <r>
      <rPr>
        <sz val="11.25"/>
        <color rgb="FF000000"/>
        <rFont val="宋体"/>
        <charset val="134"/>
      </rPr>
      <t>乡村旅游接待中心基础设施建设、门户形象提升及附属设施工程建设、乡村滨水景观及附属设施工程建设</t>
    </r>
  </si>
  <si>
    <t>青阳县平岗路延伸段改建工程</t>
  </si>
  <si>
    <t>https://ggj.chizhou.gov.cn/front/bidcontent/9005001004/ef9f151cb776429a9e6fba27e3794aea</t>
  </si>
  <si>
    <t>酉华镇人民政府公租房工程</t>
  </si>
  <si>
    <t>https://ggj.chizhou.gov.cn/front/bidcontent/9005001004/aa44cceba2784cd79cefc04dfe6fdcf0</t>
  </si>
  <si>
    <r>
      <rPr>
        <sz val="10.5"/>
        <color rgb="FF333333"/>
        <rFont val="宋体"/>
        <charset val="134"/>
      </rPr>
      <t>土建、装饰及水电安装等工程</t>
    </r>
  </si>
  <si>
    <t>池州高新区东区地块3场地平整工程</t>
  </si>
  <si>
    <t>https://ggj.chizhou.gov.cn/front/bidcontent/9005001004/a08c82520bdb4b5381aaf2b19fc84418</t>
  </si>
  <si>
    <t>0.5-9.9</t>
  </si>
  <si>
    <r>
      <rPr>
        <sz val="10.5"/>
        <color rgb="FF000000"/>
        <rFont val="宋体"/>
        <charset val="134"/>
      </rPr>
      <t>土、石方开挖、外运及场地内土方回填</t>
    </r>
  </si>
  <si>
    <t>青阳县2022年农村公路养护（童朱路、将苏路、五楼路路面大中修）工程</t>
  </si>
  <si>
    <t>https://ggj.chizhou.gov.cn/front/bidcontent/9005001004/d6adabc952a04137bc650dd30799e9f5</t>
  </si>
  <si>
    <t>杜村乡美丽集镇建设—集镇停车场工程</t>
  </si>
  <si>
    <t>https://ggj.chizhou.gov.cn/front/bidcontent/9005001004/0b4c8080bd0448698b77d117800024cb</t>
  </si>
  <si>
    <r>
      <rPr>
        <u/>
        <sz val="10.5"/>
        <color rgb="FF333333"/>
        <rFont val="宋体"/>
        <charset val="134"/>
      </rPr>
      <t>集镇停车场工程</t>
    </r>
  </si>
  <si>
    <t>池州经济技术开发区三范村、流坡村改善人居环境建设项目附属工程</t>
  </si>
  <si>
    <t>https://ggj.chizhou.gov.cn/front/bidcontent/9005001004/4b7f3a608741460caefc25354e17b954</t>
  </si>
  <si>
    <r>
      <rPr>
        <sz val="10.5"/>
        <color rgb="FF000000"/>
        <rFont val="宋体"/>
        <charset val="134"/>
      </rPr>
      <t>道路、围墙、门楼、污水处理、给排水及海绵城市</t>
    </r>
  </si>
  <si>
    <t>皖江江南新兴产业集中区乐山路（洛河路-皖江西路）路面提升工程 </t>
  </si>
  <si>
    <t>https://ggj.chizhou.gov.cn/front/bidcontent/9005001004/2b334bc17b5f41a4aa255712f4f365c2</t>
  </si>
  <si>
    <r>
      <rPr>
        <u/>
        <sz val="10.5"/>
        <color rgb="FF333333"/>
        <rFont val="宋体"/>
        <charset val="134"/>
      </rPr>
      <t>城市次干路，全长约</t>
    </r>
    <r>
      <rPr>
        <u/>
        <sz val="10.5"/>
        <color rgb="FF333333"/>
        <rFont val="Times New Roman"/>
        <charset val="134"/>
      </rPr>
      <t>1467</t>
    </r>
    <r>
      <rPr>
        <u/>
        <sz val="10.5"/>
        <color rgb="FF333333"/>
        <rFont val="宋体"/>
        <charset val="134"/>
      </rPr>
      <t>米。道路红线宽度</t>
    </r>
    <r>
      <rPr>
        <u/>
        <sz val="10.5"/>
        <color rgb="FF333333"/>
        <rFont val="Times New Roman"/>
        <charset val="134"/>
      </rPr>
      <t>33</t>
    </r>
    <r>
      <rPr>
        <u/>
        <sz val="10.5"/>
        <color rgb="FF333333"/>
        <rFont val="宋体"/>
        <charset val="134"/>
      </rPr>
      <t>米，设计速度</t>
    </r>
    <r>
      <rPr>
        <u/>
        <sz val="10.5"/>
        <color rgb="FF333333"/>
        <rFont val="Times New Roman"/>
        <charset val="134"/>
      </rPr>
      <t>40 km/h</t>
    </r>
    <r>
      <rPr>
        <u/>
        <sz val="10.5"/>
        <color rgb="FF333333"/>
        <rFont val="宋体"/>
        <charset val="134"/>
      </rPr>
      <t>，双向</t>
    </r>
    <r>
      <rPr>
        <u/>
        <sz val="10.5"/>
        <color rgb="FF333333"/>
        <rFont val="Times New Roman"/>
        <charset val="134"/>
      </rPr>
      <t>4</t>
    </r>
    <r>
      <rPr>
        <u/>
        <sz val="10.5"/>
        <color rgb="FF333333"/>
        <rFont val="宋体"/>
        <charset val="134"/>
      </rPr>
      <t>车道。施工的主要内容为：铣刨原有沥青面层，对原有坑槽、龟裂部位进行挖除面层及基层并重新用用水泥稳定碎石铺筑，对于原路面与现设计高程不同的部位，统一用</t>
    </r>
    <r>
      <rPr>
        <u/>
        <sz val="10.5"/>
        <color rgb="FF333333"/>
        <rFont val="Times New Roman"/>
        <charset val="134"/>
      </rPr>
      <t>5~200px</t>
    </r>
    <r>
      <rPr>
        <u/>
        <sz val="10.5"/>
        <color rgb="FF333333"/>
        <rFont val="宋体"/>
        <charset val="134"/>
      </rPr>
      <t>厚沥青碎石找平调坡，然后铺设</t>
    </r>
    <r>
      <rPr>
        <u/>
        <sz val="10.5"/>
        <color rgb="FF333333"/>
        <rFont val="Times New Roman"/>
        <charset val="134"/>
      </rPr>
      <t>200pxAM-25</t>
    </r>
    <r>
      <rPr>
        <u/>
        <sz val="10.5"/>
        <color rgb="FF333333"/>
        <rFont val="宋体"/>
        <charset val="134"/>
      </rPr>
      <t>沥青碎石（沥青混凝土）及</t>
    </r>
    <r>
      <rPr>
        <u/>
        <sz val="10.5"/>
        <color rgb="FF333333"/>
        <rFont val="Times New Roman"/>
        <charset val="134"/>
      </rPr>
      <t>100px</t>
    </r>
    <r>
      <rPr>
        <u/>
        <sz val="10.5"/>
        <color rgb="FF333333"/>
        <rFont val="宋体"/>
        <charset val="134"/>
      </rPr>
      <t>厚</t>
    </r>
    <r>
      <rPr>
        <u/>
        <sz val="10.5"/>
        <color rgb="FF333333"/>
        <rFont val="Times New Roman"/>
        <charset val="134"/>
      </rPr>
      <t>AC-13</t>
    </r>
    <r>
      <rPr>
        <u/>
        <sz val="10.5"/>
        <color rgb="FF333333"/>
        <rFont val="宋体"/>
        <charset val="134"/>
      </rPr>
      <t>细粒式沥青混凝土罩面；对原有的雨水收水井井蓖进行高程调平、智慧交通工程</t>
    </r>
  </si>
  <si>
    <t>皖江江南新兴产业集中区汾河东路（凤鸣大道-黄山北路）建设工程</t>
  </si>
  <si>
    <t>https://ggj.chizhou.gov.cn/front/bidcontent/9005001004/65144d4e4df64ab985cc0b04e79abd42</t>
  </si>
  <si>
    <r>
      <rPr>
        <sz val="12"/>
        <color rgb="FF333333"/>
        <rFont val="宋体"/>
        <charset val="134"/>
      </rPr>
      <t>道路、交通、排水、桥梁、绿化、照明、供电等工程</t>
    </r>
  </si>
  <si>
    <t>青阳县九华河杜村段防洪治理工程</t>
  </si>
  <si>
    <t>https://ggj.chizhou.gov.cn/front/bidcontent/9005001004/281e6d64189e4e90ab607355f316f858</t>
  </si>
  <si>
    <t>综合，报价区间：0.84-0.99，k:0.3，0.4，0.5</t>
  </si>
  <si>
    <r>
      <rPr>
        <sz val="12"/>
        <color rgb="FF333333"/>
        <rFont val="宋体"/>
        <charset val="134"/>
      </rPr>
      <t>填筑堤防、清淤疏浚、护岸挡墙和护坡、现状蓄水坝修复、改造、新建管涵出水口、新建车行水泥路及人行巡查便道等</t>
    </r>
  </si>
  <si>
    <t>皖江江南新兴产业集中区淮河东路（凤鸣大道-黄山北路）建设工程</t>
  </si>
  <si>
    <t>https://ggj.chizhou.gov.cn/front/bidcontent/9005001004/f7e37f5bdee9495f9278d9b71ae20019</t>
  </si>
  <si>
    <t>皖江江南新兴产业集中区滨江大道（青通河-黄山北路段）改建工程污水管道建设工程</t>
  </si>
  <si>
    <t>https://ggj.chizhou.gov.cn/front/bidcontent/9005001004/5ca2528d11054aff8fc2ebb107f6f51c</t>
  </si>
  <si>
    <r>
      <rPr>
        <sz val="12"/>
        <color rgb="FF333333"/>
        <rFont val="宋体"/>
        <charset val="134"/>
      </rPr>
      <t>污水顶管、工作井、接收井、中间井、污水检查井、管道地基粉喷桩、高压旋喷桩支护、中间井帷幕等内容</t>
    </r>
  </si>
  <si>
    <t>石台路（东湖路至九华山大道）道路改造工程</t>
  </si>
  <si>
    <t>https://ggj.chizhou.gov.cn/front/bidcontent/9005001004/f3063364cf4543a79966aa3d75a3c08b</t>
  </si>
  <si>
    <t>10-14.8</t>
  </si>
  <si>
    <r>
      <rPr>
        <sz val="10.5"/>
        <color rgb="FF333333"/>
        <rFont val="宋体"/>
        <charset val="134"/>
      </rPr>
      <t>道路、排水、交通、照明、绿化</t>
    </r>
  </si>
  <si>
    <t>2022年贵池区牛头山镇高标准农田建设项目</t>
  </si>
  <si>
    <t>https://ggj.chizhou.gov.cn/front/bidcontent/9005001004/041eddebccf840818f18007371087e2e</t>
  </si>
  <si>
    <r>
      <rPr>
        <sz val="10.5"/>
        <color rgb="FF333333"/>
        <rFont val="宋体"/>
        <charset val="134"/>
      </rPr>
      <t>沟渠清淤衬砌2.3公里，泵站工程6座，新建农桥3座，涵洞工程47座，土壤改良200亩，购安杀虫灯50台，田间道路硬化4.5公里</t>
    </r>
  </si>
  <si>
    <t>池州市贵池区白俞河山洪沟防洪治理工程</t>
  </si>
  <si>
    <t>https://ggj.chizhou.gov.cn/front/bidcontent/9005001004/e44c02829ccc4bf1a186595d49081ce8</t>
  </si>
  <si>
    <r>
      <rPr>
        <u/>
        <sz val="10.5"/>
        <color rgb="FF333333"/>
        <rFont val="宋体"/>
        <charset val="134"/>
      </rPr>
      <t>河道清淤疏浚3.53公里，新建拆建挡土墙2公里，拆建拦砂坎1座。河堤修复0.21公里</t>
    </r>
  </si>
  <si>
    <t>石台县城东安置小区二期 </t>
  </si>
  <si>
    <t>https://ggj.chizhou.gov.cn/front/bidcontent/9005001004/b6e6b3fab6a548bda57773b03918dc6d</t>
  </si>
  <si>
    <t>房屋建筑</t>
  </si>
  <si>
    <t>池州市黄湓河出口段治理工程黄湓闸电气及自动化采购项目</t>
  </si>
  <si>
    <t>https://ggj.chizhou.gov.cn/front/bidcontent/9005001004/0ad1d0fe37ed43f18f0afebd2344f225</t>
  </si>
  <si>
    <t>综合，报价区间：0.88-0.98，k:0.3，0.4，0.5</t>
  </si>
  <si>
    <r>
      <rPr>
        <b/>
        <sz val="10.5"/>
        <color rgb="FF333333"/>
        <rFont val="宋体"/>
        <charset val="134"/>
      </rPr>
      <t>电子与智能化工程专业承包</t>
    </r>
  </si>
  <si>
    <r>
      <rPr>
        <sz val="10.5"/>
        <color rgb="FF333333"/>
        <rFont val="宋体"/>
        <charset val="134"/>
      </rPr>
      <t>设备硬件、软件及设计开发、选型制造、出厂试验、包装、发运、现场开箱检查、保险保管、装卸、现场安装、调试、联合试运行、系统验收以及用户培训等</t>
    </r>
  </si>
  <si>
    <t>安徽省石台县2022年以工代赈示范工程项目</t>
  </si>
  <si>
    <t>https://ggj.chizhou.gov.cn/front/bidcontent/9005001004/2d4444a300d94c398abd027b47516d61</t>
  </si>
  <si>
    <r>
      <rPr>
        <u/>
        <sz val="10.5"/>
        <color rgb="FF000000"/>
        <rFont val="宋体"/>
        <charset val="134"/>
      </rPr>
      <t>本工程改建机耕路、道路硬化、路面铺设沥青、桥涵工程、改建沟渠、护岸工程及挡土墙等工程</t>
    </r>
  </si>
  <si>
    <t>石台县小河镇郑村村至红石村道路改建工程项目</t>
  </si>
  <si>
    <t>https://ggj.chizhou.gov.cn/front/bidcontent/9005001004/1db046cdc96d48339681e59d88caa8da</t>
  </si>
  <si>
    <t>贵池区2022年“四好农村路”养护工程（小修及预防性养护）</t>
  </si>
  <si>
    <t>https://ggj.chizhou.gov.cn/front/bidcontent/9005001004/0d688424ca4446639eacd8992a8cdb77</t>
  </si>
  <si>
    <t>池州市贵池区馨香花园安置点A区A1#~A6#及地下室土建工程项目</t>
  </si>
  <si>
    <t>https://ggj.chizhou.gov.cn/front/bidcontent/9005001004/73dca2d371d14bcf981b3886c30d9511</t>
  </si>
  <si>
    <r>
      <rPr>
        <sz val="10.5"/>
        <color rgb="FF333333"/>
        <rFont val="宋体"/>
        <charset val="134"/>
      </rPr>
      <t>A1#-A6#楼、地下室（含人防工程）土建、装饰、安装工程等工程</t>
    </r>
  </si>
  <si>
    <t>池州市贵池区里山矿业有限责任公司建筑石料用石灰岩矿关闭矿山地质环境恢复治理工程</t>
  </si>
  <si>
    <t>https://ggj.chizhou.gov.cn/front/bidcontent/9005001004/a517c0495df241d89b02e910c03f48c0</t>
  </si>
  <si>
    <r>
      <rPr>
        <sz val="10.5"/>
        <color rgb="FF333333"/>
        <rFont val="宋体"/>
        <charset val="134"/>
      </rPr>
      <t>本工程主要治理任务为边坡危岩及碎石清理、边坡复绿、采场底盘复绿、截排水工程、工业场地治理工程、场地平整、安全防护、设置防护栏警示牌</t>
    </r>
  </si>
  <si>
    <t>石台县丁香乡村振兴园(实训基地)项目</t>
  </si>
  <si>
    <t>https://ggj.chizhou.gov.cn/front/bidcontent/9005001004/d30282a1bc934ac5bf453184309aa9cc</t>
  </si>
  <si>
    <r>
      <rPr>
        <sz val="10.5"/>
        <color rgb="FF333333"/>
        <rFont val="宋体"/>
        <charset val="134"/>
      </rPr>
      <t>新建</t>
    </r>
    <r>
      <rPr>
        <sz val="10.5"/>
        <color rgb="FF333333"/>
        <rFont val="Times New Roman"/>
        <charset val="134"/>
      </rPr>
      <t>6#</t>
    </r>
    <r>
      <rPr>
        <sz val="10.5"/>
        <color rgb="FF333333"/>
        <rFont val="宋体"/>
        <charset val="134"/>
      </rPr>
      <t>多功能培训教研楼，</t>
    </r>
    <r>
      <rPr>
        <sz val="10.5"/>
        <color rgb="FF333333"/>
        <rFont val="Times New Roman"/>
        <charset val="134"/>
      </rPr>
      <t>7#</t>
    </r>
    <r>
      <rPr>
        <sz val="10.5"/>
        <color rgb="FF333333"/>
        <rFont val="宋体"/>
        <charset val="134"/>
      </rPr>
      <t>、</t>
    </r>
    <r>
      <rPr>
        <sz val="10.5"/>
        <color rgb="FF333333"/>
        <rFont val="Times New Roman"/>
        <charset val="134"/>
      </rPr>
      <t>8#</t>
    </r>
    <r>
      <rPr>
        <sz val="10.5"/>
        <color rgb="FF333333"/>
        <rFont val="宋体"/>
        <charset val="134"/>
      </rPr>
      <t>标准化厂房，配套建设室外停车场、道路、环卫、绿化、亮化、给排水、污水处理、消防、燃气、现有高压电力电缆下地、供配强弱电等基础设施</t>
    </r>
  </si>
  <si>
    <t>青阳县2022年农村公路预养护工程二标段（云童路、茅太路）</t>
  </si>
  <si>
    <t>https://ggj.chizhou.gov.cn/front/bidcontent/9005001004/e037db917c6d40759b12161ad0a73786</t>
  </si>
  <si>
    <t>青阳县2022年农村公路预养护工程一标段（上粽路、东厚路） </t>
  </si>
  <si>
    <t>https://ggj.chizhou.gov.cn/front/bidcontent/9005001004/5e451fb920be44a0aaeb4759e5b27b74</t>
  </si>
  <si>
    <t>池州市消防训练基地项目（一期）</t>
  </si>
  <si>
    <t>https://ggj.chizhou.gov.cn/front/bidcontent/9005001004/686e7d3f75144395813cb5d29b5b4e12</t>
  </si>
  <si>
    <t>0.5-15综合</t>
  </si>
  <si>
    <r>
      <rPr>
        <sz val="10.5"/>
        <color rgb="FF333333"/>
        <rFont val="宋体"/>
        <charset val="134"/>
      </rPr>
      <t>场地平整、砖柱铁艺围墙、钢筋砼挡土墙、足球场及相关区域内雨污水、管线预埋等工程</t>
    </r>
  </si>
  <si>
    <t>综合</t>
  </si>
  <si>
    <t>青阳县2022年城区标线标牌工程</t>
  </si>
  <si>
    <t>https://ggj.chizhou.gov.cn/front/bidcontent/9005001004/ee0bcd768c324dab8492fce1ca4755f8</t>
  </si>
  <si>
    <t>池州市青通路（原长齐路）污水管道改造工程</t>
  </si>
  <si>
    <t>https://ggj.chizhou.gov.cn/front/bidcontent/9005001004/48438cd23b534b04b1777e39f57d21a4</t>
  </si>
  <si>
    <r>
      <rPr>
        <sz val="10.5"/>
        <color rgb="FF333333"/>
        <rFont val="宋体"/>
        <charset val="134"/>
      </rPr>
      <t>顶管施工，内容包含DN1000污水砼管928.5米、DN800污水砼管44.3米、污水检查井14座、顶管工作井4座、顶管接收井5座、破路恢复</t>
    </r>
  </si>
  <si>
    <t>安徽省元进来龙矿业有限公司棉花形矿区白水泥用石灰岩矿矿山生态修复治理工程</t>
  </si>
  <si>
    <t>https://ggj.chizhou.gov.cn/front/bidcontent/9005001004/ed3bc7a5ce5b4dbcb9c75fdfd1a82e15</t>
  </si>
  <si>
    <t>综合，报价区间：0.86-0.94，k:0.1，0.2，0.3</t>
  </si>
  <si>
    <r>
      <rPr>
        <b/>
        <sz val="10.5"/>
        <color rgb="FF333333"/>
        <rFont val="宋体"/>
        <charset val="134"/>
      </rPr>
      <t>地质灾害防治（治理）工程施工</t>
    </r>
  </si>
  <si>
    <r>
      <rPr>
        <sz val="10.5"/>
        <color rgb="FF333333"/>
        <rFont val="宋体"/>
        <charset val="134"/>
      </rPr>
      <t>主要建设内容包含矿山区域治理、削坡降坡、复垦复绿、道路、截排水工程、监测、养护等全部工程</t>
    </r>
  </si>
  <si>
    <t>石台县公信河横渡镇以上段防洪治理工程</t>
  </si>
  <si>
    <t>https://ggj.chizhou.gov.cn/front/bidcontent/9005001004/543d3d209dc6486694802dc0b3a8b5ec</t>
  </si>
  <si>
    <t>综合，报价区间：0.85-1，k:0.3，0.4，0.5</t>
  </si>
  <si>
    <r>
      <rPr>
        <u/>
        <sz val="10.5"/>
        <color rgb="FF000000"/>
        <rFont val="宋体"/>
        <charset val="134"/>
      </rPr>
      <t>主要建设内容为堤防工程长 0.76km,清淤疏浚长2.73km， 岸坡整治长3.244km（其中挡墙＋护坡段 1617m，仅护坡段 928m，仅挡墙段 699m），改造蓄水坝11座（修复6座、拆除重建2 座、拆除3座），新建箱涵2座，防汛道路2.47km</t>
    </r>
  </si>
  <si>
    <t>石台县2022年省计划小型水库除险加固工程施工一标</t>
  </si>
  <si>
    <t>https://ggj.chizhou.gov.cn/front/bidcontent/9005001004/f3622e55075541b48a615589df7c11f4</t>
  </si>
  <si>
    <r>
      <rPr>
        <u/>
        <sz val="10.5"/>
        <color rgb="FF333333"/>
        <rFont val="宋体"/>
        <charset val="134"/>
      </rPr>
      <t>主要建设内容为水库大坝、溢洪道、放水涵等工程除险加固建设</t>
    </r>
  </si>
  <si>
    <t>石台县2022年省计划小型水库除险加固工程施工二标</t>
  </si>
  <si>
    <t>https://ggj.chizhou.gov.cn/front/bidcontent/9005001004/f9fcac45f6fb45988d81c507b1d8ae93</t>
  </si>
  <si>
    <t>池州市2022年(第二批)普通国省干线公路危旧桥梁(国道)改造工程Ⅰ标段</t>
  </si>
  <si>
    <t>https://ggj.chizhou.gov.cn/front/bidcontent/9005001004/870aaebd57ee4333af138c066d9bd636</t>
  </si>
  <si>
    <t>公路养护工程施工或桥梁养护</t>
  </si>
  <si>
    <t>池州市2022年(第二批)普通国省干线公路危旧桥梁(国道)改造工程Ⅱ标段</t>
  </si>
  <si>
    <t>https://ggj.chizhou.gov.cn/front/bidcontent/9005001004/f989b1153f054ce693022c6252f73270</t>
  </si>
  <si>
    <t>皖江江南新兴产业集中区皖舟湖路网建设工程</t>
  </si>
  <si>
    <t>https://ggj.chizhou.gov.cn/front/bidcontent/9005001004/89c8635a8a9548d5aaef9336b9a2d4d3</t>
  </si>
  <si>
    <r>
      <rPr>
        <u/>
        <sz val="10.5"/>
        <color rgb="FF333333"/>
        <rFont val="宋体"/>
        <charset val="134"/>
      </rPr>
      <t>道路、排水、交通、强电下地、路灯照明等工程</t>
    </r>
  </si>
  <si>
    <r>
      <t>池州市贵池区梅里新村一期（B区）安置点B1#</t>
    </r>
    <r>
      <rPr>
        <b/>
        <sz val="14"/>
        <color rgb="FF333333"/>
        <rFont val="宋体"/>
        <charset val="134"/>
      </rPr>
      <t>~</t>
    </r>
    <r>
      <rPr>
        <sz val="14"/>
        <color rgb="FF333333"/>
        <rFont val="宋体"/>
        <charset val="134"/>
      </rPr>
      <t>B6#楼及地下室土建工程</t>
    </r>
  </si>
  <si>
    <t>https://ggj.chizhou.gov.cn/front/bidcontent/9005001004/9f838105932d4657b83f6815949376ae</t>
  </si>
  <si>
    <r>
      <rPr>
        <sz val="10.5"/>
        <color rgb="FF333333"/>
        <rFont val="宋体"/>
        <charset val="134"/>
      </rPr>
      <t>括B1#-B6#楼、地下室（含人防工程）土建、装饰、安装等工程</t>
    </r>
  </si>
  <si>
    <t>新城明珠小学新建综合楼及多功能报告厅建设项目</t>
  </si>
  <si>
    <t>https://ggj.chizhou.gov.cn/front/bidcontent/9005001004/1b73ea3e16234af8aa54e4cee4bd33c2</t>
  </si>
  <si>
    <t>楼栋，建筑主体工程（土建工程、给排水工程、电气工程、装饰工程等）、围墙、大门及门卫、室外道路、雨污水、景观绿化和室外供电、供水、消防等室外配套工程</t>
  </si>
  <si>
    <t>石台县2022年省计划小型水库除险加固工程施工三标</t>
  </si>
  <si>
    <t>https://ggj.chizhou.gov.cn/front/bidcontent/9005001004/d7169615ef724ae4b7f3d8a2e8a7722b</t>
  </si>
  <si>
    <t>青阳县城区供水扩容建设项目城区管网升级改造（开发区供水管网）工程</t>
  </si>
  <si>
    <t>https://ggj.chizhou.gov.cn/front/bidcontent/9005001004/1d872d99e8474719a72c72ccf627dcd2</t>
  </si>
  <si>
    <t>0.5-12</t>
  </si>
  <si>
    <r>
      <rPr>
        <sz val="10.5"/>
        <color rgb="FF333333"/>
        <rFont val="宋体"/>
        <charset val="134"/>
      </rPr>
      <t>县开发区管沟开挖，回填，管道安装，修复等工作</t>
    </r>
  </si>
  <si>
    <t>池州市贵池区毛棚小流域水土保持综合治理工程</t>
  </si>
  <si>
    <t>https://ggj.chizhou.gov.cn/front/bidcontent/9005001004/231fd7973f7848d2944afadcb2ceb073</t>
  </si>
  <si>
    <r>
      <rPr>
        <u/>
        <sz val="10.5"/>
        <color rgb="FF333333"/>
        <rFont val="宋体"/>
        <charset val="134"/>
      </rPr>
      <t>项目主要建设内容：水蚀坡林地改造、沟道治理、村庄清洁美化、环境提升、封禁治理等</t>
    </r>
  </si>
  <si>
    <t>池州市贵池区马衙河小流域水土保持综合治理工程</t>
  </si>
  <si>
    <t>https://ggj.chizhou.gov.cn/front/bidcontent/9005001004/d894cbbd7ec94830ba8e20f4a0276d40</t>
  </si>
  <si>
    <t>池州市2022年(第二批)普通国省干线公路危旧桥梁(国道)改造工程Ⅴ标段</t>
  </si>
  <si>
    <t>https://ggj.chizhou.gov.cn/front/bidcontent/9005001004/6f707b01f8914954a080f2f73d073ffb</t>
  </si>
  <si>
    <t>池州市2022年(第二批)普通国省干线公路危旧桥梁(国道)改造工程IV标段</t>
  </si>
  <si>
    <t>https://ggj.chizhou.gov.cn/front/bidcontent/9005001004/31b94ffd3ada4a50a6d068af35c76c73</t>
  </si>
  <si>
    <t>皖江江南新兴产业集中区滨江大道（秦岭路-九华河）建设工程</t>
  </si>
  <si>
    <t>https://ggj.chizhou.gov.cn/front/bidcontent/9005001004/6b75dc75e9a147ff9814be9dd5a192a2</t>
  </si>
  <si>
    <t>0.5-15---</t>
  </si>
  <si>
    <r>
      <rPr>
        <u/>
        <sz val="10.5"/>
        <color rgb="FF333333"/>
        <rFont val="宋体"/>
        <charset val="134"/>
      </rPr>
      <t>道路、排水、交通、强电下地、路灯管线及基础等工程</t>
    </r>
  </si>
  <si>
    <t>2022年殷汇镇农村人居环境整治项目-高速连接线沿线环境整治提升工程</t>
  </si>
  <si>
    <t>https://ggj.chizhou.gov.cn/front/bidcontent/9005001004/73f908b482bf4f45a8076914a69c05e1</t>
  </si>
  <si>
    <t>10.2-14.9综合</t>
  </si>
  <si>
    <r>
      <rPr>
        <sz val="10.5"/>
        <color rgb="FF000000"/>
        <rFont val="宋体"/>
        <charset val="134"/>
      </rPr>
      <t>路线全长</t>
    </r>
    <r>
      <rPr>
        <sz val="10.5"/>
        <color rgb="FF000000"/>
        <rFont val="黑体"/>
        <charset val="134"/>
      </rPr>
      <t>1.610</t>
    </r>
    <r>
      <rPr>
        <sz val="10.5"/>
        <color rgb="FF000000"/>
        <rFont val="宋体"/>
        <charset val="134"/>
      </rPr>
      <t>公里，殷汇高速连接线两边非机动车道、路灯及绿化带</t>
    </r>
  </si>
  <si>
    <t>池州市2022年(第二批)普通国省干线公路危旧桥梁(国道)改造工程VI标段</t>
  </si>
  <si>
    <t>https://ggj.chizhou.gov.cn/front/bidcontent/9005001004/1cc5da94f3034c7692b35b3ac35a38c6</t>
  </si>
  <si>
    <t>青阳县杨家畈桥改建工程</t>
  </si>
  <si>
    <t>https://ggj.chizhou.gov.cn/front/bidcontent/9005001004/a797537dc7c04e07b608e7c4e8b94509</t>
  </si>
  <si>
    <r>
      <rPr>
        <sz val="10.5"/>
        <color rgb="FF333333"/>
        <rFont val="宋体"/>
        <charset val="134"/>
      </rPr>
      <t>拆除原有两幅桥，新建桥梁跨径为16m，桥宽增加至 60m，采用 1×16m 预支矮 T 梁桥方案</t>
    </r>
  </si>
  <si>
    <t>东至县2022年度白茆、杨屋等7座水库除险加固工程一标段</t>
  </si>
  <si>
    <t>https://ggj.chizhou.gov.cn/front/bidcontent/9005001004/e7080f4f12e34aee90fce0ff88dd5688</t>
  </si>
  <si>
    <t>报价区间：0.85-0.99，k:0.1，0.2，0.3</t>
  </si>
  <si>
    <r>
      <rPr>
        <u/>
        <sz val="12"/>
        <color rgb="FF333333"/>
        <rFont val="宋体"/>
        <charset val="134"/>
      </rPr>
      <t>主要建设内容为大坝加固、放水涵加固、溢洪道加固</t>
    </r>
  </si>
  <si>
    <t>东至县2022年度白茆、杨屋等7座水库除险加固工程二标段</t>
  </si>
  <si>
    <t>https://ggj.chizhou.gov.cn/front/bidcontent/9005001004/bfead3dc6c9f4c17afa3b8c2b6ab1886</t>
  </si>
  <si>
    <t>安徽钜芯半导体科技有限公司生产厂区（二期）建设项目</t>
  </si>
  <si>
    <t>https://ggj.chizhou.gov.cn/front/bidcontent/9005001004/2367365576684e49ba957a40e717b6fb</t>
  </si>
  <si>
    <r>
      <rPr>
        <sz val="10.5"/>
        <color rgb="FF333333"/>
        <rFont val="宋体"/>
        <charset val="134"/>
      </rPr>
      <t>土建装饰、门窗、水电安装、消防工程等</t>
    </r>
  </si>
  <si>
    <t>青阳经济开发区基础设施项目—双溪路改造工程</t>
  </si>
  <si>
    <t>https://ggj.chizhou.gov.cn/front/bidcontent/9005001004/e529f731fe5e45b6a214696f0f6486eb</t>
  </si>
  <si>
    <t>2.2-15</t>
  </si>
  <si>
    <r>
      <rPr>
        <sz val="10.5"/>
        <color rgb="FF333333"/>
        <rFont val="宋体"/>
        <charset val="134"/>
      </rPr>
      <t>全长约1.35公里，有行车道、人行道及绿化带、雨污水管网、交通标牌标线等建设</t>
    </r>
  </si>
  <si>
    <t>青阳县爱国主义教育基地暨烈士纪念设施修缮提升改造项目（第一标段）</t>
  </si>
  <si>
    <t>https://ggj.chizhou.gov.cn/front/bidcontent/9005001004/916a0360980f4e74967a000f0d372f47</t>
  </si>
  <si>
    <t>0.5-14.8</t>
  </si>
  <si>
    <r>
      <rPr>
        <sz val="10.5"/>
        <color rgb="FF333333"/>
        <rFont val="宋体"/>
        <charset val="134"/>
      </rPr>
      <t>入口景墙、地坪及标识牌、纪念碑处改造、灰色人行道砖等工程</t>
    </r>
  </si>
  <si>
    <t>东至县老虎岗排涝站（老站）拆除重建工程</t>
  </si>
  <si>
    <t>https://ggj.chizhou.gov.cn/front/bidcontent/9005001004/98072fdc60b64f598846ff261bc620a2</t>
  </si>
  <si>
    <t>综合，报价区间：0.85-0.98，k:0.3，0.4，0.5</t>
  </si>
  <si>
    <r>
      <rPr>
        <sz val="10.5"/>
        <color rgb="FF333333"/>
        <rFont val="宋体"/>
        <charset val="134"/>
      </rPr>
      <t>主要内容为闸站重建、金属结构设备及安装工程、机电设备及安装三大部分</t>
    </r>
  </si>
  <si>
    <t>青阳县2022年花园口水库等7座小型水库除险加固工程施工标</t>
  </si>
  <si>
    <t>https://ggj.chizhou.gov.cn/front/bidcontent/9005001004/647c61f010f54048b6055edd1381bb51</t>
  </si>
  <si>
    <r>
      <rPr>
        <sz val="10.5"/>
        <color rgb="FF333333"/>
        <rFont val="宋体"/>
        <charset val="134"/>
      </rPr>
      <t>工程建设范围为7座水库</t>
    </r>
  </si>
  <si>
    <t>东至县尧渡河步头湾至欧窑段防洪治理工程</t>
  </si>
  <si>
    <t>https://ggj.chizhou.gov.cn/front/bidcontent/9005001004/a15b088004354468bb055bd5e31ed655</t>
  </si>
  <si>
    <r>
      <rPr>
        <u/>
        <sz val="14.25"/>
        <color rgb="FF000000"/>
        <rFont val="仿宋"/>
        <charset val="134"/>
      </rPr>
      <t>工程建设范围为花园乡、尧渡镇，堤防加固工程长0.7km，清淤疏浚长6.14km，新建生态挡土墙长 3.06km，岸坡整治长8.008km，新建防汛巡查道路5.52 km，拆除重建堤顶道路0.7km等</t>
    </r>
  </si>
  <si>
    <t>2022年农村公路危桥改造工程二标段（王狮铺桥）</t>
  </si>
  <si>
    <t>https://ggj.chizhou.gov.cn/front/bidcontent/9005001004/fd6c15f26c154619b37027cea0382c63</t>
  </si>
  <si>
    <r>
      <rPr>
        <sz val="11.25"/>
        <color rgb="FF333333"/>
        <rFont val="宋体"/>
        <charset val="134"/>
      </rPr>
      <t>公路工程施工总承包</t>
    </r>
  </si>
  <si>
    <r>
      <rPr>
        <sz val="11.25"/>
        <color rgb="FF333333"/>
        <rFont val="宋体"/>
        <charset val="134"/>
      </rPr>
      <t>主要建设内容：桥梁，路基、路面改造</t>
    </r>
  </si>
  <si>
    <t>2022年农村公路危桥改造工程一标段（平元桥）</t>
  </si>
  <si>
    <t>https://ggj.chizhou.gov.cn/front/bidcontent/9005001004/e7397b539d974cf6984cecec6829eda5</t>
  </si>
  <si>
    <r>
      <rPr>
        <sz val="10.5"/>
        <color rgb="FF333333"/>
        <rFont val="宋体"/>
        <charset val="134"/>
      </rPr>
      <t>桥梁，路基、路面改造及交通安全设施</t>
    </r>
  </si>
  <si>
    <t>池州市2022年（第二批）普通国省干线公路（国道）灾害防治工程（Ⅰ标段）</t>
  </si>
  <si>
    <t>https://ggj.chizhou.gov.cn/front/bidcontent/9005001004/868c6e66b2a14628b2665fbb6c5fcdaa</t>
  </si>
  <si>
    <t>公路养护工程施工或路基路面养护</t>
  </si>
  <si>
    <r>
      <rPr>
        <sz val="10.5"/>
        <color rgb="FF333333"/>
        <rFont val="宋体"/>
        <charset val="134"/>
      </rPr>
      <t>边坡防护、挡墙、路侧排水等</t>
    </r>
  </si>
  <si>
    <t>池州市2022年（第二批）普通国省干线公路（国道）灾害防治工程（Ⅱ标段）</t>
  </si>
  <si>
    <t>https://ggj.chizhou.gov.cn/front/bidcontent/9005001004/1661ce0d902a41e686064050b2b78b20</t>
  </si>
  <si>
    <t>G318 秋浦河大桥危旧桥梁改造（船舶碰撞桥梁隐患治理）养护工程</t>
  </si>
  <si>
    <t>https://ggj.chizhou.gov.cn/front/bidcontent/9005001004/612e22c9478b4a958873710871a563bd</t>
  </si>
  <si>
    <r>
      <rPr>
        <sz val="14.25"/>
        <color rgb="FF333333"/>
        <rFont val="仿宋"/>
        <charset val="134"/>
      </rPr>
      <t>港口与航道工程施工总承包</t>
    </r>
  </si>
  <si>
    <t>石台县横渡镇杨村桥建设工程项目</t>
  </si>
  <si>
    <t>https://ggj.chizhou.gov.cn/front/bidcontent/9005001004/b37ab4024b5740ae9ce0c0b70444544b</t>
  </si>
  <si>
    <t>池州市贵池区职业学校东部校区建设项目教学楼（一期）</t>
  </si>
  <si>
    <t>https://ggj.chizhou.gov.cn/front/bidcontent/9005001004/7008edc535754ec4aed1c3cac80bd7ac</t>
  </si>
  <si>
    <r>
      <rPr>
        <sz val="10.5"/>
        <color rgb="FF000000"/>
        <rFont val="宋体"/>
        <charset val="134"/>
      </rPr>
      <t>主体工程、水电安装、消防、外立面及内部装饰装修工程</t>
    </r>
  </si>
  <si>
    <t>池州市2022年（第二批）普通国省干线公路（S219）灾害防治工程</t>
  </si>
  <si>
    <t>https://ggj.chizhou.gov.cn/front/bidcontent/9005001004/5d0c384f7fbe49fba69cb6a6da7ffba7</t>
  </si>
  <si>
    <r>
      <rPr>
        <sz val="10.5"/>
        <color rgb="FF333333"/>
        <rFont val="宋体"/>
        <charset val="134"/>
      </rPr>
      <t>：边坡防护、挡墙、路侧排水等</t>
    </r>
  </si>
  <si>
    <t>青阳经济开发区基础设施项目-东河路改造工程</t>
  </si>
  <si>
    <t>https://ggj.chizhou.gov.cn/front/bidcontent/9005001004/2fe5ded1189a43158a3be80840287b3c</t>
  </si>
  <si>
    <t>2.5-15</t>
  </si>
  <si>
    <r>
      <rPr>
        <sz val="10.5"/>
        <color rgb="FF333333"/>
        <rFont val="宋体"/>
        <charset val="134"/>
      </rPr>
      <t>全长约1公里，现行白改黑、行车道、人行道、雨污水管网等建设内容</t>
    </r>
  </si>
  <si>
    <t>池州市贵池区建国排涝站拆除重建工程施工</t>
  </si>
  <si>
    <t>https://ggj.chizhou.gov.cn/front/bidcontent/9005001004/782e3abbcf924e6ca8dcd508a8b2abf4</t>
  </si>
  <si>
    <t>综合，报价区间：0.85-0.99，k:0.3，0.4，0.5</t>
  </si>
  <si>
    <r>
      <rPr>
        <sz val="10.5"/>
        <color rgb="FF333333"/>
        <rFont val="宋体"/>
        <charset val="134"/>
      </rPr>
      <t>包括但不限于拦污闸、前池、进水池、泵房、压力水箱、穿堤箱涵等建筑物，拆除前池现有涵闸合建为北进水闸，</t>
    </r>
  </si>
  <si>
    <t>东至县花园乡双河村北岸桥改造工程</t>
  </si>
  <si>
    <t>https://ggj.chizhou.gov.cn/front/bidcontent/9005001004/525fbce306f54ec09526ea1236372e2b</t>
  </si>
  <si>
    <r>
      <rPr>
        <sz val="10.5"/>
        <color rgb="FF333333"/>
        <rFont val="宋体"/>
        <charset val="134"/>
      </rPr>
      <t>本次编制范围为路基、路面、桥梁工程、交通安全设施工程等</t>
    </r>
  </si>
  <si>
    <t>2022年青阳县城区交通设施维修建设工程</t>
  </si>
  <si>
    <t>https://ggj.chizhou.gov.cn/front/bidcontent/9005001004/ee36fa16b1e744c1a22f7560d30295fb</t>
  </si>
  <si>
    <r>
      <rPr>
        <u/>
        <sz val="10.5"/>
        <color rgb="FF333333"/>
        <rFont val="宋体"/>
        <charset val="134"/>
      </rPr>
      <t>青阳县城区交通设施维修项目，包含城区干道隔离护栏、道路交通标志标牌标线等工程</t>
    </r>
  </si>
  <si>
    <t>池州市贵池区滨江幼儿园新建项目</t>
  </si>
  <si>
    <t>https://ggj.chizhou.gov.cn/front/bidcontent/9005001004/2f58e806f0f0424d83497c5400a694ed</t>
  </si>
  <si>
    <r>
      <rPr>
        <sz val="10.5"/>
        <color rgb="FF333333"/>
        <rFont val="宋体"/>
        <charset val="134"/>
      </rPr>
      <t>幼儿园主楼土建、安装等工程</t>
    </r>
  </si>
  <si>
    <t>青阳县童埠智慧泵站建设工程</t>
  </si>
  <si>
    <t>https://ggj.chizhou.gov.cn/front/bidcontent/9005001004/20807db4df1a415a903c35d4368a666b</t>
  </si>
  <si>
    <r>
      <rPr>
        <sz val="10.5"/>
        <color rgb="FF333333"/>
        <rFont val="宋体"/>
        <charset val="134"/>
      </rPr>
      <t>主要内容有新建出水池、出水箱涵、防洪闸和出水口、泵室、清污机桥、进水池、出水渠、前池、进水渠等</t>
    </r>
  </si>
  <si>
    <t>石台县大演乡永福村等村河道综合治理工程二期</t>
  </si>
  <si>
    <t>https://ggj.chizhou.gov.cn/front/bidcontent/9005001004/5a102c8b498d4987a24d690eac8b0c07</t>
  </si>
  <si>
    <r>
      <rPr>
        <sz val="12"/>
        <color rgb="FF333333"/>
        <rFont val="宋体"/>
        <charset val="134"/>
      </rPr>
      <t>沿河步道工程、硒茶广场工程、剡溪堰工程、其他零星工程</t>
    </r>
  </si>
  <si>
    <t>九华山风景区2021年度人居环境提升工程-全乡旅游人居环境整治提升工程–老田片区环境整治工程</t>
  </si>
  <si>
    <t>https://ggj.chizhou.gov.cn/front/bidcontent/9005001004/0605163ca36f4c639bd1f4bba6347b33</t>
  </si>
  <si>
    <r>
      <rPr>
        <u/>
        <sz val="10.5"/>
        <color rgb="FF333333"/>
        <rFont val="宋体"/>
        <charset val="134"/>
      </rPr>
      <t>新建污水主管网、接户管</t>
    </r>
    <r>
      <rPr>
        <u/>
        <sz val="10.5"/>
        <color rgb="FF333333"/>
        <rFont val="Times New Roman"/>
        <charset val="134"/>
      </rPr>
      <t>,</t>
    </r>
    <r>
      <rPr>
        <u/>
        <sz val="10.5"/>
        <color rgb="FF333333"/>
        <rFont val="宋体"/>
        <charset val="134"/>
      </rPr>
      <t>将收集的污水接入市政主管</t>
    </r>
    <r>
      <rPr>
        <u/>
        <sz val="10.5"/>
        <color rgb="FF333333"/>
        <rFont val="Times New Roman"/>
        <charset val="134"/>
      </rPr>
      <t>,</t>
    </r>
    <r>
      <rPr>
        <u/>
        <sz val="10.5"/>
        <color rgb="FF333333"/>
        <rFont val="宋体"/>
        <charset val="134"/>
      </rPr>
      <t>偏远住户污水采用分散处理方式</t>
    </r>
    <r>
      <rPr>
        <u/>
        <sz val="10.5"/>
        <color rgb="FF333333"/>
        <rFont val="Times New Roman"/>
        <charset val="134"/>
      </rPr>
      <t>;</t>
    </r>
    <r>
      <rPr>
        <u/>
        <sz val="10.5"/>
        <color rgb="FF333333"/>
        <rFont val="宋体"/>
        <charset val="134"/>
      </rPr>
      <t>部分区域新建雨水管网</t>
    </r>
    <r>
      <rPr>
        <u/>
        <sz val="10.5"/>
        <color rgb="FF333333"/>
        <rFont val="Times New Roman"/>
        <charset val="134"/>
      </rPr>
      <t>,</t>
    </r>
    <r>
      <rPr>
        <u/>
        <sz val="10.5"/>
        <color rgb="FF333333"/>
        <rFont val="宋体"/>
        <charset val="134"/>
      </rPr>
      <t>满足路面排水需求</t>
    </r>
    <r>
      <rPr>
        <u/>
        <sz val="10.5"/>
        <color rgb="FF333333"/>
        <rFont val="Times New Roman"/>
        <charset val="134"/>
      </rPr>
      <t>,</t>
    </r>
    <r>
      <rPr>
        <u/>
        <sz val="10.5"/>
        <color rgb="FF333333"/>
        <rFont val="宋体"/>
        <charset val="134"/>
      </rPr>
      <t>施工完成后恢复路面及改造提升工程包含项目、石板修复、条石桥修复、石板铺设、水泥桥拆除等</t>
    </r>
  </si>
  <si>
    <t>青阳县七星河乔木段防洪治理工程</t>
  </si>
  <si>
    <t>https://ggj.chizhou.gov.cn/front/bidcontent/9005001004/2be2bdde6aed45f1bf32d9450790dd94</t>
  </si>
  <si>
    <t>综合，报价区间：0.84-0.98，k:0.3，0.4，0.5</t>
  </si>
  <si>
    <r>
      <rPr>
        <sz val="10.5"/>
        <color rgb="FF333333"/>
        <rFont val="宋体"/>
        <charset val="134"/>
      </rPr>
      <t>主要建设内容为：堤防加固、岸坡防护、防汛道路建设</t>
    </r>
  </si>
  <si>
    <t>白洋河横山段堤防加固工程</t>
  </si>
  <si>
    <t>https://ggj.chizhou.gov.cn/front/bidcontent/9005001004/73e225a56f1d44cbb56dd282c33eaa59</t>
  </si>
  <si>
    <t>堤防工程（包括堤身加培、浆砌石护披、护岸等）穿堤建筑物：在堤防上下游各建一座过路涵</t>
  </si>
  <si>
    <t>石台县矶滩乡济宁路至外重阳公路升级改造工程</t>
  </si>
  <si>
    <t>https://ggj.chizhou.gov.cn/front/bidcontent/9005001004/51b8f8abd0434902b9ad1594013fdd43</t>
  </si>
  <si>
    <t>石台县公安局战训基地项目</t>
  </si>
  <si>
    <t>https://ggj.chizhou.gov.cn/front/bidcontent/9005001004/80903eeb705147c9a08710ceec95fe05</t>
  </si>
  <si>
    <r>
      <rPr>
        <sz val="10.5"/>
        <color rgb="FF333333"/>
        <rFont val="宋体"/>
        <charset val="134"/>
      </rPr>
      <t>新建石台县公安局战训基地综合楼</t>
    </r>
    <r>
      <rPr>
        <sz val="10.5"/>
        <color rgb="FF333333"/>
        <rFont val="Times New Roman"/>
        <charset val="134"/>
      </rPr>
      <t>1880</t>
    </r>
    <r>
      <rPr>
        <sz val="10.5"/>
        <color rgb="FF333333"/>
        <rFont val="宋体"/>
        <charset val="134"/>
      </rPr>
      <t>平方米、宿舍楼</t>
    </r>
    <r>
      <rPr>
        <sz val="10.5"/>
        <color rgb="FF333333"/>
        <rFont val="Times New Roman"/>
        <charset val="134"/>
      </rPr>
      <t>1560</t>
    </r>
    <r>
      <rPr>
        <sz val="10.5"/>
        <color rgb="FF333333"/>
        <rFont val="宋体"/>
        <charset val="134"/>
      </rPr>
      <t>平方米、附属用房</t>
    </r>
    <r>
      <rPr>
        <sz val="10.5"/>
        <color rgb="FF333333"/>
        <rFont val="Times New Roman"/>
        <charset val="134"/>
      </rPr>
      <t>710</t>
    </r>
    <r>
      <rPr>
        <sz val="10.5"/>
        <color rgb="FF333333"/>
        <rFont val="宋体"/>
        <charset val="134"/>
      </rPr>
      <t>平方米，建设室外训练场地</t>
    </r>
    <r>
      <rPr>
        <sz val="10.5"/>
        <color rgb="FF333333"/>
        <rFont val="Times New Roman"/>
        <charset val="134"/>
      </rPr>
      <t>1650</t>
    </r>
    <r>
      <rPr>
        <sz val="10.5"/>
        <color rgb="FF333333"/>
        <rFont val="宋体"/>
        <charset val="134"/>
      </rPr>
      <t>平方米，配套建设室外给排水、供电、绿化、硬化等公用辅助工程，主要包括土建、安装及室外附属等</t>
    </r>
  </si>
  <si>
    <t>东至县老虎岗排灌站电力线路改造项目</t>
  </si>
  <si>
    <t>https://ggj.chizhou.gov.cn/front/bidcontent/9005001004/12d1996d47fa40478d831c804cf701c0</t>
  </si>
  <si>
    <t>综合，98-102-</t>
  </si>
  <si>
    <t>输变电工程专业承包或输变电工程专业承包</t>
  </si>
  <si>
    <t>池州市2022年（第二批）普通国省干线公路（S219）安全提升工程</t>
  </si>
  <si>
    <t>https://ggj.chizhou.gov.cn/front/bidcontent/9005001004/3d9ed43b2cfe47cbb607c4afd6d75679</t>
  </si>
  <si>
    <t>公路养护工程二类和公路安全设施分项</t>
  </si>
  <si>
    <t>池州市2022年（第二批）普通国省干线公路（G330）安全提升工程</t>
  </si>
  <si>
    <t>https://ggj.chizhou.gov.cn/front/bidcontent/9005001004/5bf9da4547d04bd7a28f02bb48129604</t>
  </si>
  <si>
    <r>
      <rPr>
        <u/>
        <sz val="14.25"/>
        <color rgb="FF333333"/>
        <rFont val="仿宋"/>
        <charset val="134"/>
      </rPr>
      <t>主要内容为交叉口渠化改造、公路路侧防护、标志标线、反光设施等</t>
    </r>
  </si>
  <si>
    <t>2022年老旧小区及周边市政基础设施改造工程一标段</t>
  </si>
  <si>
    <t>https://ggj.chizhou.gov.cn/front/bidcontent/9005001004/35925e6b40004bf7b767e53eae151122</t>
  </si>
  <si>
    <r>
      <rPr>
        <sz val="10.5"/>
        <color rgb="FF000000"/>
        <rFont val="宋体"/>
        <charset val="134"/>
      </rPr>
      <t>主要为杏花西苑和杏花诗苑小区及周边市政基础设施改造，包括道路、排水、交通、照明、绿化等</t>
    </r>
  </si>
  <si>
    <t>2022年老旧小区及周边市政基础设施改造工程三标段</t>
  </si>
  <si>
    <t>https://ggj.chizhou.gov.cn/front/bidcontent/9005001004/dd9c5f7e98c64ab3a23f355972a35b37</t>
  </si>
  <si>
    <r>
      <rPr>
        <sz val="10.5"/>
        <color rgb="FF000000"/>
        <rFont val="宋体"/>
        <charset val="134"/>
      </rPr>
      <t>主要为</t>
    </r>
    <r>
      <rPr>
        <sz val="10.5"/>
        <color rgb="FF333333"/>
        <rFont val="宋体"/>
        <charset val="134"/>
      </rPr>
      <t>杏花文苑、杏花雅苑、明月苑等老旧小区</t>
    </r>
    <r>
      <rPr>
        <sz val="10.5"/>
        <color rgb="FF000000"/>
        <rFont val="宋体"/>
        <charset val="134"/>
      </rPr>
      <t>及周边市政基础设施改造，包括道路、排水、交通、照明、绿化、</t>
    </r>
    <r>
      <rPr>
        <sz val="10.5"/>
        <color rgb="FF333333"/>
        <rFont val="宋体"/>
        <charset val="134"/>
      </rPr>
      <t>安防</t>
    </r>
  </si>
  <si>
    <t>2022年老旧小区及周边市政基础设施改造工程二标段</t>
  </si>
  <si>
    <t>https://ggj.chizhou.gov.cn/front/bidcontent/9005001004/c43076d56e714474b5ea4734b3361693</t>
  </si>
  <si>
    <r>
      <rPr>
        <sz val="10.5"/>
        <color rgb="FF333333"/>
        <rFont val="宋体"/>
        <charset val="134"/>
      </rPr>
      <t>市政道路、雨污水、景观绿化等提升改造及其他零星工程</t>
    </r>
  </si>
  <si>
    <t>池州一中校园文化宣传中心改造项目-文化宣传广场改造项目</t>
  </si>
  <si>
    <t>https://ggj.chizhou.gov.cn/front/bidcontent/9005001004/d35fa9eb07ac4134832ea8e94833b01e</t>
  </si>
  <si>
    <t>0.5-15-</t>
  </si>
  <si>
    <r>
      <rPr>
        <sz val="10.5"/>
        <color rgb="FF333333"/>
        <rFont val="宋体"/>
        <charset val="134"/>
      </rPr>
      <t>包括院内装饰改造部分、立面装饰改造部分、院外装饰改造部分等</t>
    </r>
  </si>
  <si>
    <t>池州生态人文纪念园项目</t>
  </si>
  <si>
    <t>https://ggj.chizhou.gov.cn/front/bidcontent/9005001004/ee37470372254ffda98f6b4c9cad590e</t>
  </si>
  <si>
    <r>
      <rPr>
        <sz val="14.25"/>
        <color rgb="FF333333"/>
        <rFont val="仿宋"/>
        <charset val="134"/>
      </rPr>
      <t>主要建设内容包括管理用房、服务用房，道路及停车场以及墓区划分等；配套建设绿化工程、给排水工程及其他辅助工程等设施</t>
    </r>
  </si>
  <si>
    <t>安徽卫生健康职业学院7#学生公寓工程</t>
  </si>
  <si>
    <t>https://ggj.chizhou.gov.cn/front/bidcontent/9005001004/0504e778e6114b86a4399e397eae989e</t>
  </si>
  <si>
    <r>
      <rPr>
        <sz val="10.5"/>
        <color rgb="FF333333"/>
        <rFont val="宋体"/>
        <charset val="134"/>
      </rPr>
      <t>土石方工程、砌筑工程、混凝土工程、金属结构工程、门窗工程、屋面及防水工程、保温、隔热、防腐工程、楼地面装饰工程、安装工程</t>
    </r>
  </si>
  <si>
    <t>江口查村给水管道安装工程（第二次）</t>
  </si>
  <si>
    <t>https://ggj.chizhou.gov.cn/front/bidcontent/9005001004/f9ac9aa7143a485cb950fac0b1cc7f3a</t>
  </si>
  <si>
    <t>邀请招标人数少</t>
  </si>
  <si>
    <t>池州市贵池区水系连通及水美乡村建设试点县项目水源涵养与水土保持措施工程</t>
  </si>
  <si>
    <t>https://ggj.chizhou.gov.cn/front/bidcontent/9005001004/b64128cd37e04f8aaf1fd776b293ae0f</t>
  </si>
  <si>
    <r>
      <rPr>
        <u/>
        <sz val="10.5"/>
        <color rgb="FF333333"/>
        <rFont val="宋体"/>
        <charset val="134"/>
      </rPr>
      <t>主要涉及木闸河、龙舒河、马衙河、夹江河水源涵养与水土保持措施中的相关绿化种植施工</t>
    </r>
  </si>
  <si>
    <t>石台县小河镇农民工创业园建设项目</t>
  </si>
  <si>
    <t>https://ggj.chizhou.gov.cn/front/bidcontent/9005001004/088faf6b90424a4594d632998e9fe3d5</t>
  </si>
  <si>
    <t>房屋建筑，土建、装饰、安装、附属、绿化</t>
  </si>
  <si>
    <t>贵池区牛头山镇卫生院公共卫生提升建设项目</t>
  </si>
  <si>
    <t>https://ggj.chizhou.gov.cn/front/bidcontent/9005001004/be105ab4080a450fa054e4dd747ed14d</t>
  </si>
  <si>
    <r>
      <rPr>
        <sz val="10.5"/>
        <color rgb="FF333333"/>
        <rFont val="宋体"/>
        <charset val="134"/>
      </rPr>
      <t>新建医技综合楼</t>
    </r>
    <r>
      <rPr>
        <sz val="10.5"/>
        <color rgb="FF333333"/>
        <rFont val="Times New Roman"/>
        <charset val="134"/>
      </rPr>
      <t>3279</t>
    </r>
    <r>
      <rPr>
        <sz val="10.5"/>
        <color rgb="FF333333"/>
        <rFont val="宋体"/>
        <charset val="134"/>
      </rPr>
      <t>平方米，新建医疗值班综合楼</t>
    </r>
    <r>
      <rPr>
        <sz val="10.5"/>
        <color rgb="FF333333"/>
        <rFont val="Times New Roman"/>
        <charset val="134"/>
      </rPr>
      <t>1195</t>
    </r>
    <r>
      <rPr>
        <sz val="10.5"/>
        <color rgb="FF333333"/>
        <rFont val="宋体"/>
        <charset val="134"/>
      </rPr>
      <t>平方米，新建消防、医废处置间、发热哨点诊室等配套用房</t>
    </r>
    <r>
      <rPr>
        <sz val="10.5"/>
        <color rgb="FF333333"/>
        <rFont val="Times New Roman"/>
        <charset val="134"/>
      </rPr>
      <t>526</t>
    </r>
    <r>
      <rPr>
        <sz val="10.5"/>
        <color rgb="FF333333"/>
        <rFont val="宋体"/>
        <charset val="134"/>
      </rPr>
      <t>平方米</t>
    </r>
    <r>
      <rPr>
        <sz val="10.5"/>
        <color rgb="FF333333"/>
        <rFont val="Times New Roman"/>
        <charset val="134"/>
      </rPr>
      <t>;</t>
    </r>
    <r>
      <rPr>
        <sz val="10.5"/>
        <color rgb="FF333333"/>
        <rFont val="宋体"/>
        <charset val="134"/>
      </rPr>
      <t>院内整平、排水及环境改造</t>
    </r>
  </si>
  <si>
    <t>年产30万吨高性能镁基轻合金项目铁路以东晒衣岭及盛公山厂区外侧地块工程（第二次）</t>
  </si>
  <si>
    <t>https://ggj.chizhou.gov.cn/front/bidcontent/9005001004/de92d969c2b74e26b75d721edb53ae0d</t>
  </si>
  <si>
    <r>
      <rPr>
        <sz val="10.5"/>
        <color rgb="FF333333"/>
        <rFont val="宋体"/>
        <charset val="134"/>
      </rPr>
      <t>项目区域内土方挖、运、填</t>
    </r>
  </si>
  <si>
    <t>池州市2022年普通国省干线公路S234板桥危桥改造工程</t>
  </si>
  <si>
    <t>https://ggj.chizhou.gov.cn/front/bidcontent/9005001004/44646926d381457aa5ed8145036131ca</t>
  </si>
  <si>
    <t>公路工程施工总承包或公路养护工程施工一类</t>
  </si>
  <si>
    <t>池州华宇电子科技有限公司三期10kV配电外线工程</t>
  </si>
  <si>
    <t>https://ggj.chizhou.gov.cn/front/bidcontent/9005001004/7327737b43b34673b3ccdf4664b2ae13</t>
  </si>
  <si>
    <t>电力工程施工总承包或者输变电工程专业承包</t>
  </si>
  <si>
    <t>贵池区牛头山镇长林河环境综合整治项目一期工程</t>
  </si>
  <si>
    <t>https://ggj.chizhou.gov.cn/front/bidcontent/9005001004/f9c6efdce07649d4a027f427a4d73b98</t>
  </si>
  <si>
    <r>
      <rPr>
        <sz val="10.5"/>
        <color rgb="FF333333"/>
        <rFont val="宋体"/>
        <charset val="134"/>
      </rPr>
      <t>清淤清障工程、护岸工程、堤防加固工程、道路工程</t>
    </r>
  </si>
  <si>
    <t>青阳县杨田路延伸段道排工程</t>
  </si>
  <si>
    <t>https://ggj.chizhou.gov.cn/front/bidcontent/9005001004/9340a2477d28403eaaba745d51063ce9</t>
  </si>
  <si>
    <r>
      <rPr>
        <sz val="10.5"/>
        <color rgb="FF333333"/>
        <rFont val="宋体"/>
        <charset val="134"/>
      </rPr>
      <t>新建主干道约0.553千米（沥青砼路面），配套建设雨污水管网等</t>
    </r>
  </si>
  <si>
    <t>石台县仙寓镇旅游产业提升工程</t>
  </si>
  <si>
    <t>https://ggj.chizhou.gov.cn/front/bidcontent/9005001004/65953e9aec914812b46c97454b361c7d</t>
  </si>
  <si>
    <r>
      <rPr>
        <sz val="12"/>
        <color rgb="FF333333"/>
        <rFont val="宋体"/>
        <charset val="134"/>
      </rPr>
      <t>镇口广场、人行铺装、混凝土路面、沥青路面、集镇外立面、污水系统等其它零星节点建设</t>
    </r>
  </si>
  <si>
    <t>青阳县第五幼儿园建设项目</t>
  </si>
  <si>
    <t>https://ggj.chizhou.gov.cn/front/bidcontent/9005001004/1b0e64b4a12d444f955b57648bc8311e</t>
  </si>
  <si>
    <r>
      <rPr>
        <sz val="10.5"/>
        <color rgb="FF333333"/>
        <rFont val="宋体"/>
        <charset val="134"/>
      </rPr>
      <t>土建、附属、水电、给排水</t>
    </r>
  </si>
  <si>
    <t>石台县杨树村至七里坞至洪村公路地质灾害防治及安全提升工程</t>
  </si>
  <si>
    <t>https://ggj.chizhou.gov.cn/front/bidcontent/9005001004/842d2ca5deea443796433c546e2e25af</t>
  </si>
  <si>
    <r>
      <rPr>
        <u/>
        <sz val="10.5"/>
        <color rgb="FF333333"/>
        <rFont val="宋体"/>
        <charset val="134"/>
      </rPr>
      <t>主要针对道路路堑边坡灾害治理、SNS主动防护网等</t>
    </r>
  </si>
  <si>
    <t>石台县2023年度县乡道危桥改造工程（C050一桥）</t>
  </si>
  <si>
    <t>https://ggj.chizhou.gov.cn/front/bidcontent/9005001004/bae08b9dc697465192e2a1abaf9db9a6</t>
  </si>
  <si>
    <t>月亮湖小学扩建工程（一期）</t>
  </si>
  <si>
    <t>https://ggj.chizhou.gov.cn/front/bidcontent/9005001004/d16188105f7740a2aa2c070a10c762da</t>
  </si>
  <si>
    <t>桩基工程、土建工程、装饰工程、安装工程及附属工程
根据第21行数据猜测</t>
  </si>
  <si>
    <t>青阳县五溪自来水厂新建工程</t>
  </si>
  <si>
    <t>https://ggj.chizhou.gov.cn/front/bidcontent/9005001004/c12bc75189304b06b475fa2b9b38059a</t>
  </si>
  <si>
    <t>报价区间：0.80-0.98，k:0.1，0.2，0.3</t>
  </si>
  <si>
    <r>
      <rPr>
        <u/>
        <sz val="10.5"/>
        <color rgb="FF333333"/>
        <rFont val="宋体"/>
        <charset val="134"/>
      </rPr>
      <t>主要建设内容：五溪自来水厂土建工程、装饰工程、电气照明工程、室外输水管道及配水工程等内容</t>
    </r>
  </si>
  <si>
    <t>石台县仙寓镇七里坞至仙寓山公路升级改造工程</t>
  </si>
  <si>
    <t>https://ggj.chizhou.gov.cn/front/bidcontent/9005001004/d68dffcc25494c99b9546ec1272b2be4</t>
  </si>
  <si>
    <r>
      <rPr>
        <sz val="10.5"/>
        <color rgb="FF333333"/>
        <rFont val="宋体"/>
        <charset val="134"/>
      </rPr>
      <t>公路工程</t>
    </r>
    <r>
      <rPr>
        <sz val="10.5"/>
        <color rgb="FF000000"/>
        <rFont val="宋体"/>
        <charset val="134"/>
      </rPr>
      <t>施工总承包</t>
    </r>
  </si>
  <si>
    <r>
      <rPr>
        <sz val="10.5"/>
        <color rgb="FF333333"/>
        <rFont val="宋体"/>
        <charset val="134"/>
      </rPr>
      <t>设计路基宽度7.5米，路面宽度6.5米，以及边沟、边坡治理等附属工程。路面类型：沥青混凝土路面</t>
    </r>
  </si>
  <si>
    <t>池州市第二人民医院门诊及感染病区综合楼建设项目-门诊综合楼</t>
  </si>
  <si>
    <t>https://ggj.chizhou.gov.cn/front/bidcontent/9005001004/25ce3a3ceb3048afbdb3f57057eea4d6</t>
  </si>
  <si>
    <r>
      <rPr>
        <sz val="10.5"/>
        <color rgb="FF333333"/>
        <rFont val="宋体"/>
        <charset val="134"/>
      </rPr>
      <t>基坑支护、主体工程、水电安装、消防</t>
    </r>
  </si>
  <si>
    <t>池州华宇电子科技有限公司三期10KV配电工程</t>
  </si>
  <si>
    <t>https://ggj.chizhou.gov.cn/front/bidcontent/9005001004/498bb07635044aacbe3344ebe6adc436</t>
  </si>
  <si>
    <t>报价区间：0.85-0.90，k:0.2，0.3，0.4</t>
  </si>
  <si>
    <t>3121工程2#标段</t>
  </si>
  <si>
    <t>https://ggj.chizhou.gov.cn/front/bidcontent/9005001004/46643cdaa14249e6b6951856db9cb92c</t>
  </si>
  <si>
    <t>钢结构车棚，道路，监控，智能设备采购安装
采购安装应适当增加下浮率</t>
  </si>
  <si>
    <t>江南电子信息产业园北外立面、幕墙玻璃及景观道排附属工程</t>
  </si>
  <si>
    <t>https://ggj.chizhou.gov.cn/front/bidcontent/9005001004/712d09b120c545d88907559da51085fd</t>
  </si>
  <si>
    <r>
      <rPr>
        <sz val="10.5"/>
        <color rgb="FF333333"/>
        <rFont val="宋体"/>
        <charset val="134"/>
      </rPr>
      <t>外立面、普通玻璃幕墙及普通落地玻璃、雨污水管、景观、道路、冷热管道等施工</t>
    </r>
  </si>
  <si>
    <t>九华山风景区六七房里居民点单元房（4#、5#、6#楼）项目</t>
  </si>
  <si>
    <t>https://ggj.chizhou.gov.cn/front/bidcontent/9005001004/b9ed18da1a2141caad9a1e96c88f84ca</t>
  </si>
  <si>
    <r>
      <rPr>
        <sz val="10.5"/>
        <color rgb="FF333333"/>
        <rFont val="宋体"/>
        <charset val="134"/>
      </rPr>
      <t>建筑安装工程、及室外附属工程</t>
    </r>
  </si>
  <si>
    <t>池州市贵池区建国排涝站拆除重建工程金属结构制作标</t>
  </si>
  <si>
    <t>https://ggj.chizhou.gov.cn/front/bidcontent/9005001004/f2d9efb982dc4ba89322081e1999ca9e</t>
  </si>
  <si>
    <t>综合，报价区间：0.92-0.98，k:0.3，0.4，0.5</t>
  </si>
  <si>
    <r>
      <rPr>
        <sz val="12"/>
        <color rgb="FF333333"/>
        <rFont val="宋体"/>
        <charset val="134"/>
      </rPr>
      <t>水工金属结构防腐蚀专业施工</t>
    </r>
  </si>
  <si>
    <t>石台县七都镇水槽至胭脂桥道路建设工程项目</t>
  </si>
  <si>
    <t>https://ggj.chizhou.gov.cn/front/bidcontent/9005001004/8cf4a1e4b716451b9a6c6a72553ae196</t>
  </si>
  <si>
    <r>
      <rPr>
        <u/>
        <sz val="10.5"/>
        <color rgb="FF333333"/>
        <rFont val="宋体"/>
        <charset val="134"/>
      </rPr>
      <t>主要建设内容为将七都水槽向西至棠溪镇胭脂桥的一条3.049公里路升级改造为路基宽7.0米、路宽5.0米的公路，并配套建设道路附属设施</t>
    </r>
  </si>
  <si>
    <t>石台县医养资源整合提标工程暨仁里镇卫生院建设工程</t>
  </si>
  <si>
    <t>https://ggj.chizhou.gov.cn/front/bidcontent/9005001004/43190a9e52cb4de99524216f35cb0b63</t>
  </si>
  <si>
    <t>石台县医养资源整合提标工程暨矶滩乡卫生院建设工程</t>
  </si>
  <si>
    <t>https://ggj.chizhou.gov.cn/front/bidcontent/9005001004/bc3baa4137944a3c893e4ce64279ec3c</t>
  </si>
  <si>
    <t>2023年石台县横渡镇、大演乡高标准农田建设项目</t>
  </si>
  <si>
    <t>https://ggj.chizhou.gov.cn/front/bidcontent/9005001004/e975ce28ca004cd3a6fba5e28587accd</t>
  </si>
  <si>
    <t>2023年石台县小河镇高标准农田建设改造提升项目</t>
  </si>
  <si>
    <t>https://ggj.chizhou.gov.cn/front/bidcontent/9005001004/b56e1f9eaf6e4422a3ee7bcdc046bf21</t>
  </si>
  <si>
    <t>坦埠路及周边环境整治工程（景观工程）</t>
  </si>
  <si>
    <t>https://ggj.chizhou.gov.cn/front/bidcontent/9005001004/55718f926aec4df8aa38155bf2bb20d6</t>
  </si>
  <si>
    <t>1-15</t>
  </si>
  <si>
    <r>
      <rPr>
        <sz val="10.5"/>
        <color rgb="FF333333"/>
        <rFont val="宋体"/>
        <charset val="134"/>
      </rPr>
      <t>人行道铺装面积约3000m2、沥青停车场2000m2、沥青园路约2500m2、轮滑场地约240m2、塑胶地垫约290m2、新建混凝土挡土墙高度6m，长度约370m、高度5m、长度约80m，浆砌块石挡墙,长度19米,高3米，浆砌块石挡墙,长度13.5米,高6.5米，路灯工程、绿化工程等</t>
    </r>
  </si>
  <si>
    <t>九华山交通转换中心（汽车客运站）功能提升项目地面停车场及附属用房工程</t>
  </si>
  <si>
    <t>https://ggj.chizhou.gov.cn/front/bidcontent/9005001004/8c18fe7b85da494eaae74fe956d5f73b</t>
  </si>
  <si>
    <r>
      <rPr>
        <sz val="10.5"/>
        <color rgb="FF333333"/>
        <rFont val="宋体"/>
        <charset val="134"/>
      </rPr>
      <t>本工程配套建设市政、土建、安装、交通设施、绿化、室外附属及安防监控系统工程等</t>
    </r>
  </si>
  <si>
    <t>青阳县人民医院直线加速器、核医学科及高压氧舱项目</t>
  </si>
  <si>
    <t>https://ggj.chizhou.gov.cn/front/bidcontent/9005001004/4a7f9da16b4d49ef861249b18045c156</t>
  </si>
  <si>
    <t>附属工程施工</t>
  </si>
  <si>
    <t>青阳县童埠智慧泵站建设工程电气设备及自动化标</t>
  </si>
  <si>
    <t>https://ggj.chizhou.gov.cn/front/bidcontent/9005001004/f7c06fea8b7c495a97710a00a1b75b6f</t>
  </si>
  <si>
    <t>综合，报价区间：0.86-0.98，k:0.2，0.3，0.4</t>
  </si>
  <si>
    <r>
      <rPr>
        <sz val="14.25"/>
        <color rgb="FF333333"/>
        <rFont val="仿宋"/>
        <charset val="134"/>
      </rPr>
      <t>电子与智能化工程专业承包</t>
    </r>
  </si>
  <si>
    <r>
      <rPr>
        <sz val="14.25"/>
        <color rgb="FF333333"/>
        <rFont val="仿宋"/>
        <charset val="134"/>
      </rPr>
      <t>对工程电气设备（详见货物清单）的设计、制造、运输、保管、安装、调试、试验及试运转；建立泵站计算机自动控制系统和泵站视频监视系统</t>
    </r>
  </si>
  <si>
    <t>石台县皖南黄兔原种基地建设项目一期工程</t>
  </si>
  <si>
    <t>https://ggj.chizhou.gov.cn/front/bidcontent/9005001004/139ffde044874caf8d4811f8aaf30ba8</t>
  </si>
  <si>
    <t>2022年青阳县蓉城镇合心村废弃坑塘复垦项目</t>
  </si>
  <si>
    <t>https://ggj.chizhou.gov.cn/front/bidcontent/9005001004/144d7fc77717462684e44cc9bf0b4599</t>
  </si>
  <si>
    <t>仙寓山景区基础设施提升工程项目村庄污水整治工程</t>
  </si>
  <si>
    <t>https://ggj.chizhou.gov.cn/front/bidcontent/9005001004/f9f3ef20e60b4e81a58ea5600457de12</t>
  </si>
  <si>
    <r>
      <rPr>
        <sz val="12"/>
        <color rgb="FF333333"/>
        <rFont val="宋体"/>
        <charset val="134"/>
      </rPr>
      <t>新建污水处理站及配套管网工程</t>
    </r>
  </si>
  <si>
    <t>棠溪路35KV线路附属起帆二期35KV变电站工程EPC项目</t>
  </si>
  <si>
    <t>https://ggj.chizhou.gov.cn/front/bidcontent/9005001004/f006136540324f3ba0ebd7141868ef93</t>
  </si>
  <si>
    <t>电力工程施工总承包、电力行业（送电工程、变电工程）专业设计或工程设计综合</t>
  </si>
  <si>
    <t>石台县七都镇大河口桥建设工程</t>
  </si>
  <si>
    <t>https://ggj.chizhou.gov.cn/front/bidcontent/9005001004/36ff5c6abc2b477e96a246cf5ef02b77</t>
  </si>
  <si>
    <t>尧渡镇汪街行政村汪街中心村美丽乡村建设及污水处理项目</t>
  </si>
  <si>
    <t>https://ggj.chizhou.gov.cn/front/bidcontent/9005001004/686e05350e5e475a970a66f23f145a5e</t>
  </si>
  <si>
    <r>
      <rPr>
        <sz val="9.75"/>
        <color rgb="FF000000"/>
        <rFont val="宋体"/>
        <charset val="134"/>
      </rPr>
      <t>尧渡镇汪街行政村汪街中心村美丽乡村建设及污水处理项目所有内容</t>
    </r>
  </si>
  <si>
    <t>东至经开区产业大道（香苑大道-东二环）桥梁、箱涵专业分包</t>
  </si>
  <si>
    <t>https://ggj.chizhou.gov.cn/front/bidcontent/9005001004/5177a0c85f9e4dc89288a8b5f1692da3</t>
  </si>
  <si>
    <r>
      <rPr>
        <sz val="11.25"/>
        <color rgb="FF333333"/>
        <rFont val="宋体"/>
        <charset val="134"/>
      </rPr>
      <t>新建1×13m空心板桥一座（含桥梁主体结构和附属配套设施）、单孔钢筋混凝土箱涵(B×H=3.0×2.5m)一座、单孔钢筋混凝土箱涵(B×H=2.0×2.0m)一座</t>
    </r>
  </si>
  <si>
    <t>新增六七房里居民点5#楼</t>
  </si>
  <si>
    <t> 1371725.31</t>
  </si>
  <si>
    <t>https://ggj.chizhou.gov.cn/front/bidcontent/9005001004/142f2d5ea17047b48a819f8c62eaa9da</t>
  </si>
  <si>
    <t>官港路桥及连接线工程</t>
  </si>
  <si>
    <t>https://ggj.chizhou.gov.cn/front/bidcontent/9005001004/023960edd7f5493c907e87afca6d852b</t>
  </si>
  <si>
    <r>
      <rPr>
        <sz val="10.5"/>
        <color rgb="FF333333"/>
        <rFont val="宋体"/>
        <charset val="134"/>
      </rPr>
      <t>项目规划用地约7200平方米，道路全长约300米（其中桥长约75米）,道路红线宽24米。主要包括300米道路工程、3*25米桥梁工程，配套建设排水、电力、交通及绿化、亮化等附属工程</t>
    </r>
  </si>
  <si>
    <t>石台县仙寓镇 S473 至仙牌路连接路升级改造工程</t>
  </si>
  <si>
    <t>https://ggj.chizhou.gov.cn/front/bidcontent/9005001004/8625068f44e64716b06fa6e7cee2f6ee</t>
  </si>
  <si>
    <t>石台县剡溪河小流域水土保持综合治理工程</t>
  </si>
  <si>
    <t>https://ggj.chizhou.gov.cn/front/bidcontent/9005001004/aa6d489041ce462fa0a357e0e56323d3</t>
  </si>
  <si>
    <t>综合，报价区间：0.88-0.99，k:0.3，0.4，0.5</t>
  </si>
  <si>
    <r>
      <rPr>
        <sz val="10.5"/>
        <color rgb="FF333333"/>
        <rFont val="宋体"/>
        <charset val="134"/>
      </rPr>
      <t>包括河道整治、新建拦河堰、护岸挡墙、休闲步道、绿化提升等</t>
    </r>
  </si>
  <si>
    <t>石台县小桐坑小流域水土保持综合治理工程</t>
  </si>
  <si>
    <t>https://ggj.chizhou.gov.cn/front/bidcontent/9005001004/94e0b212771c42939928fcc76552242b</t>
  </si>
  <si>
    <t>青阳县狮山河小流域水土保持综合治理工程</t>
  </si>
  <si>
    <t>https://ggj.chizhou.gov.cn/front/bidcontent/9005001004/f3f761b789ba4ed0926ffbb2d832b791</t>
  </si>
  <si>
    <t>主要建设内容为沟道治理及沿河生态防护、村庄清洁美化工程等</t>
  </si>
  <si>
    <t>青阳县经济开发区产业提升建设项目（标准化厂房一期工程） </t>
  </si>
  <si>
    <t>https://ggj.chizhou.gov.cn/front/bidcontent/9005001004/f9cd002055084485b02b703b75e9137c</t>
  </si>
  <si>
    <t>1.5-10</t>
  </si>
  <si>
    <t>东至县东流镇太平山生态陵园项目(一期)</t>
  </si>
  <si>
    <t>https://ggj.chizhou.gov.cn/front/bidcontent/9005001004/eb6c902b9ee24ba9b9dd0850db5ac33c</t>
  </si>
  <si>
    <r>
      <rPr>
        <sz val="10.5"/>
        <color rgb="FF000000"/>
        <rFont val="宋体"/>
        <charset val="134"/>
      </rPr>
      <t>办公楼建筑面积104.5m</t>
    </r>
    <r>
      <rPr>
        <vertAlign val="superscript"/>
        <sz val="10.5"/>
        <color rgb="FF000000"/>
        <rFont val="宋体"/>
        <charset val="134"/>
      </rPr>
      <t>2</t>
    </r>
    <r>
      <rPr>
        <sz val="10.5"/>
        <color rgb="FF000000"/>
        <rFont val="宋体"/>
        <charset val="134"/>
      </rPr>
      <t>、檐口高度3.9m；殡仪馆建筑面积263.4m</t>
    </r>
    <r>
      <rPr>
        <vertAlign val="superscript"/>
        <sz val="10.5"/>
        <color rgb="FF000000"/>
        <rFont val="宋体"/>
        <charset val="134"/>
      </rPr>
      <t>2</t>
    </r>
    <r>
      <rPr>
        <sz val="10.5"/>
        <color rgb="FF000000"/>
        <rFont val="宋体"/>
        <charset val="134"/>
      </rPr>
      <t>，檐口高度4.5m；追思厅建筑面积158.1m</t>
    </r>
    <r>
      <rPr>
        <vertAlign val="superscript"/>
        <sz val="10.5"/>
        <color rgb="FF000000"/>
        <rFont val="宋体"/>
        <charset val="134"/>
      </rPr>
      <t>2</t>
    </r>
    <r>
      <rPr>
        <sz val="10.5"/>
        <color rgb="FF000000"/>
        <rFont val="宋体"/>
        <charset val="134"/>
      </rPr>
      <t>，檐口高度3.9m；公厕建筑面积41.33m</t>
    </r>
    <r>
      <rPr>
        <vertAlign val="superscript"/>
        <sz val="10.5"/>
        <color rgb="FF000000"/>
        <rFont val="宋体"/>
        <charset val="134"/>
      </rPr>
      <t>2</t>
    </r>
    <r>
      <rPr>
        <sz val="10.5"/>
        <color rgb="FF000000"/>
        <rFont val="宋体"/>
        <charset val="134"/>
      </rPr>
      <t>，檐口高度3.3m；环形景观沥青道路、防火道砂石路、景观亭花岗岩路面、墓区台阶及墓穴前荷兰砖铺装步道、荷兰砖停车位、墓区台阶浆砌块石挡土墙、停车位台阶砼挡墙、砖砌排水沟、仿竹栏杆、应急水池、焚烧池、强弱电系统、给排水系统等其他项目</t>
    </r>
  </si>
  <si>
    <t>青阳县城区扩容建设项目城区管网升级改造（城区供水管网）工程</t>
  </si>
  <si>
    <t>https://ggj.chizhou.gov.cn/front/bidcontent/9005001004/7c16420543764757a28073e707a74776</t>
  </si>
  <si>
    <r>
      <rPr>
        <sz val="10.5"/>
        <color rgb="FF333333"/>
        <rFont val="宋体"/>
        <charset val="134"/>
      </rPr>
      <t>管网升级改造（城区供水管网）工程，包含城区管沟开挖，回填，管道安装，修复等工作内容</t>
    </r>
  </si>
  <si>
    <t>大渡口镇八都湖行政村济众中心村省级美丽乡村及生活污水处理建设项目</t>
  </si>
  <si>
    <t>https://ggj.chizhou.gov.cn/front/bidcontent/9005001004/ec5386a176b84c388ff9fb52eed88cc4</t>
  </si>
  <si>
    <r>
      <rPr>
        <sz val="10.5"/>
        <color rgb="FF333333"/>
        <rFont val="宋体"/>
        <charset val="134"/>
      </rPr>
      <t>DN200HDPE双壁波纹管，DN300HDPE双壁波纹管，DN300HDPE实壁管（拉管），DN750PVC-U塑料排水接户管，DN1100PVC-U塑料排水接户管，DN160PVC-U塑料排水接户管，φ700混凝土模块式检查井，φ900混凝土模块式检查井，φ600成品塑料检查井，500×500砖砌检查井，混凝土一字式出水口，破除恢复厚现状混凝土路面，破除恢复200px厚现状庭前屋后混凝土路面及一体化污水处理站</t>
    </r>
  </si>
  <si>
    <t>石台县城市公益性公墓建设项目外部连接道路工程（路面工程）项目</t>
  </si>
  <si>
    <t>https://ggj.chizhou.gov.cn/front/bidcontent/9005001004/3d4f90ce434a4d35a85bb18b1c8e6c7c</t>
  </si>
  <si>
    <t>公路工程施工总承包或公路路面工程专业承包</t>
  </si>
  <si>
    <t>东至县大渡口镇2022年度老旧小区改造项目</t>
  </si>
  <si>
    <t>https://ggj.chizhou.gov.cn/front/bidcontent/9005001004/6fa07b28bf514d05aa9cb9b0024755df</t>
  </si>
  <si>
    <r>
      <rPr>
        <sz val="10.5"/>
        <color rgb="FF333333"/>
        <rFont val="宋体"/>
        <charset val="134"/>
      </rPr>
      <t>老区委会老旧小区透水砖铺装约691.34平方米，塑胶铺装172平方米、防腐木长廊一座、砖砌文化墙75.8米、张拉膜车棚51.2平方米、小区内外墙出新、屋面防水改造等；文明一、文明二老旧小区水泥混凝土道路1102.9平方米、张拉膜结构车棚38.4平方米、内外墙出新、屋面防水改造，室外给排水管道、强弱电改造等、汇隆花园小区外墙改造2500平方米、屋面防水改造1500平方米，状元楼小区强弱电管道安装、海天花园小区内墙护墙板约4000平方米等</t>
    </r>
  </si>
  <si>
    <t>池州市贵池区查村圩堤防应急加固工程</t>
  </si>
  <si>
    <t>https://ggj.chizhou.gov.cn/front/bidcontent/9005001004/166e313a52ec40c9b11d48760e083fa6</t>
  </si>
  <si>
    <t>报价区间：0.85-0.98，k:0.1，0.2，0.3</t>
  </si>
  <si>
    <r>
      <rPr>
        <sz val="10.5"/>
        <color rgb="FF333333"/>
        <rFont val="宋体"/>
        <charset val="134"/>
      </rPr>
      <t>主要内容为</t>
    </r>
    <r>
      <rPr>
        <u/>
        <sz val="10.5"/>
        <color rgb="FF333333"/>
        <rFont val="宋体"/>
        <charset val="134"/>
      </rPr>
      <t>堤防加固工程、查村圩进</t>
    </r>
    <r>
      <rPr>
        <u/>
        <sz val="10.5"/>
        <color rgb="FF333333"/>
        <rFont val="宋体"/>
        <charset val="134"/>
      </rPr>
      <t>退洪闸闸首延伸、新建排水涵等</t>
    </r>
  </si>
  <si>
    <t>池州市东至县永丰河小流域水土保持综合治理工程</t>
  </si>
  <si>
    <t>https://ggj.chizhou.gov.cn/front/bidcontent/9005001004/d8042f649ec3487c8131b4d458afb5bd</t>
  </si>
  <si>
    <r>
      <rPr>
        <u/>
        <sz val="10.5"/>
        <color rgb="FF000000"/>
        <rFont val="Arial"/>
        <charset val="134"/>
      </rPr>
      <t>主要施工内容为：新建亲水平台、岸坡修整、河道清淤疏浚、河道周边新建挡墙护岸、拦砂堰、新建村庄清洁美化、新建村庄绿地广场、程港组村庄美化等施工内容</t>
    </r>
  </si>
  <si>
    <t>青山乡双港行政村双港中心村美丽乡村及生活污水处理建设项目</t>
  </si>
  <si>
    <t>https://ggj.chizhou.gov.cn/front/bidcontent/9005001004/ddfef1b93e724a329bb8b7fe9ba18ad1</t>
  </si>
  <si>
    <t>0.5-15--</t>
  </si>
  <si>
    <r>
      <rPr>
        <sz val="12"/>
        <color rgb="FF333333"/>
        <rFont val="宋体"/>
        <charset val="134"/>
      </rPr>
      <t>青山乡双港行政村双港中心村美丽乡村及生活污水处理建设项目所有内容</t>
    </r>
  </si>
  <si>
    <t>安徽卫生健康职业学院大学生活动中心（食堂）及东片环境提升工程</t>
  </si>
  <si>
    <t>https://ggj.chizhou.gov.cn/front/bidcontent/9005001004/030e3fe1d863484da8df1f924627cec6</t>
  </si>
  <si>
    <t>大渡口仙寓山安置房三期项目施工用砖主材采购项目</t>
  </si>
  <si>
    <t>https://ggj.chizhou.gov.cn/front/bidcontent/9005001004/baae982084b9440b910b086993caa5b0</t>
  </si>
  <si>
    <t>2:10:0.8</t>
  </si>
  <si>
    <t>青阳县经济开发区童埠园区纬一路道路工程</t>
  </si>
  <si>
    <t>https://ggj.chizhou.gov.cn/front/bidcontent/9005001004/b6a046a511954db88d823c9621880acc</t>
  </si>
  <si>
    <t>池州市精神卫生福利设施建设项目A2-A4#楼、大门及室外工程（三次）</t>
  </si>
  <si>
    <t>https://ggj.chizhou.gov.cn/front/bidcontent/9005001004/d6ff53d4d55d4c0cb85f526692729752</t>
  </si>
  <si>
    <t>5.1-10</t>
  </si>
  <si>
    <t>东至县污水处理厂二期扩建工程（土建）</t>
  </si>
  <si>
    <t>https://ggj.chizhou.gov.cn/front/bidcontent/9005001004/cf1e4a481d7b42b592cc2b245689cef0</t>
  </si>
  <si>
    <r>
      <rPr>
        <sz val="10.5"/>
        <color rgb="FF333333"/>
        <rFont val="宋体"/>
        <charset val="134"/>
      </rPr>
      <t>①AO池：现浇钢筋混凝土水池2910.07m</t>
    </r>
    <r>
      <rPr>
        <vertAlign val="superscript"/>
        <sz val="10.5"/>
        <color rgb="FF333333"/>
        <rFont val="宋体"/>
        <charset val="134"/>
      </rPr>
      <t>2</t>
    </r>
    <r>
      <rPr>
        <sz val="10.5"/>
        <color rgb="FF333333"/>
        <rFont val="宋体"/>
        <charset val="134"/>
      </rPr>
      <t>。②二沉池：现浇钢筋混凝土水池1575.53m</t>
    </r>
    <r>
      <rPr>
        <vertAlign val="superscript"/>
        <sz val="10.5"/>
        <color rgb="FF333333"/>
        <rFont val="宋体"/>
        <charset val="134"/>
      </rPr>
      <t>2</t>
    </r>
    <r>
      <rPr>
        <sz val="10.5"/>
        <color rgb="FF333333"/>
        <rFont val="宋体"/>
        <charset val="134"/>
      </rPr>
      <t>。③污泥泵房：地下水池128.96m</t>
    </r>
    <r>
      <rPr>
        <vertAlign val="superscript"/>
        <sz val="10.5"/>
        <color rgb="FF333333"/>
        <rFont val="宋体"/>
        <charset val="134"/>
      </rPr>
      <t>2</t>
    </r>
    <r>
      <rPr>
        <sz val="10.5"/>
        <color rgb="FF333333"/>
        <rFont val="宋体"/>
        <charset val="134"/>
      </rPr>
      <t>、地上一层128.96m</t>
    </r>
    <r>
      <rPr>
        <vertAlign val="superscript"/>
        <sz val="10.5"/>
        <color rgb="FF333333"/>
        <rFont val="宋体"/>
        <charset val="134"/>
      </rPr>
      <t>2</t>
    </r>
    <r>
      <rPr>
        <sz val="10.5"/>
        <color rgb="FF333333"/>
        <rFont val="宋体"/>
        <charset val="134"/>
      </rPr>
      <t>、框架结构。④浓缩脱水机房：地上一层（局部二层）、938.98m</t>
    </r>
    <r>
      <rPr>
        <vertAlign val="superscript"/>
        <sz val="10.5"/>
        <color rgb="FF333333"/>
        <rFont val="宋体"/>
        <charset val="134"/>
      </rPr>
      <t>2</t>
    </r>
    <r>
      <rPr>
        <sz val="10.5"/>
        <color rgb="FF333333"/>
        <rFont val="宋体"/>
        <charset val="134"/>
      </rPr>
      <t>、框架结构。⑤配电间及鼓风机房：地上一层、561.24m</t>
    </r>
    <r>
      <rPr>
        <vertAlign val="superscript"/>
        <sz val="10.5"/>
        <color rgb="FF333333"/>
        <rFont val="宋体"/>
        <charset val="134"/>
      </rPr>
      <t>2</t>
    </r>
    <r>
      <rPr>
        <sz val="10.5"/>
        <color rgb="FF333333"/>
        <rFont val="宋体"/>
        <charset val="134"/>
      </rPr>
      <t>、框架结构。⑥其他：配水井、储泥井、排泥井、浮渣井等。⑦附属工程：沥青路面约1928m</t>
    </r>
    <r>
      <rPr>
        <vertAlign val="superscript"/>
        <sz val="10.5"/>
        <color rgb="FF333333"/>
        <rFont val="宋体"/>
        <charset val="134"/>
      </rPr>
      <t>2</t>
    </r>
    <r>
      <rPr>
        <sz val="10.5"/>
        <color rgb="FF333333"/>
        <rFont val="宋体"/>
        <charset val="134"/>
      </rPr>
      <t>、人行道约266m</t>
    </r>
    <r>
      <rPr>
        <vertAlign val="superscript"/>
        <sz val="10.5"/>
        <color rgb="FF333333"/>
        <rFont val="宋体"/>
        <charset val="134"/>
      </rPr>
      <t>2</t>
    </r>
    <r>
      <rPr>
        <sz val="10.5"/>
        <color rgb="FF333333"/>
        <rFont val="宋体"/>
        <charset val="134"/>
      </rPr>
      <t>、新建围墙420米、给排水等内容</t>
    </r>
  </si>
  <si>
    <t>石台县乡村振兴富硒产业融合发展示范区-大演乡乡村振兴创业园（生态富硒农产品加工园区建设项目二期）</t>
  </si>
  <si>
    <t>https://ggj.chizhou.gov.cn/front/bidcontent/9005001004/9f6e551c6578420bb15a4fd1382dd97d</t>
  </si>
  <si>
    <t>包含钢结构，猜测与上一个项目相似</t>
  </si>
  <si>
    <t>东至县东流水厂改扩建工程</t>
  </si>
  <si>
    <t>https://ggj.chizhou.gov.cn/front/bidcontent/9005001004/fb1cc39453184146ba61a9eb025203b6</t>
  </si>
  <si>
    <t>2023年九华山风景区农村公路养护工程</t>
  </si>
  <si>
    <t>https://ggj.chizhou.gov.cn/front/bidcontent/9005001004/2fb885b5f7fb496dbf69c644642c45b0</t>
  </si>
  <si>
    <r>
      <rPr>
        <sz val="10.5"/>
        <color rgb="FF333333"/>
        <rFont val="宋体"/>
        <charset val="134"/>
      </rPr>
      <t>进行铣刨、摊铺沥青混凝土；路面病害处理：老基层挖出、摊铺沥青混凝土</t>
    </r>
  </si>
  <si>
    <t>东至县龙泉河上游段防洪治理工程一标段</t>
  </si>
  <si>
    <t>https://ggj.chizhou.gov.cn/front/bidcontent/9005001004/b2d06b8f93bf48449e3879759be77bd2</t>
  </si>
  <si>
    <t>综合，报价区间：0.89-0.98，k:0.2，0.3，0.4</t>
  </si>
  <si>
    <t>东至县龙泉河上游段防洪治理工程二标段</t>
  </si>
  <si>
    <t>https://ggj.chizhou.gov.cn/front/bidcontent/9005001004/89b78111855f43069277859fa360a8ff</t>
  </si>
  <si>
    <t>综合，报价区间：0.869-0.98，k:0.2，0.3，0.4</t>
  </si>
  <si>
    <t>青阳县五溪新区人居环境提升项目（五溪风情街安置区周边拟建道路）工程</t>
  </si>
  <si>
    <t>https://ggj.chizhou.gov.cn/front/bidcontent/9005001004/68301d3174394a29b1b6dfcf1ea9b563</t>
  </si>
  <si>
    <r>
      <rPr>
        <sz val="10.5"/>
        <color rgb="FF333333"/>
        <rFont val="宋体"/>
        <charset val="134"/>
      </rPr>
      <t>配套建设安置区给排水设施、供配电设施、外接道路设施及环保设施等基础设施</t>
    </r>
  </si>
  <si>
    <t>2022年度省级美丽乡村中心村污水管网及处理终端建设项目</t>
  </si>
  <si>
    <t>https://ggj.chizhou.gov.cn/front/bidcontent/9005001004/8d2e8cdb392a4cab871af92b68ef98b1</t>
  </si>
  <si>
    <r>
      <rPr>
        <sz val="10.5"/>
        <color rgb="FF000000"/>
        <rFont val="宋体"/>
        <charset val="134"/>
      </rPr>
      <t>污水管网、污水井及污水处理终端</t>
    </r>
  </si>
  <si>
    <t>石台县2023年度农村公路养护工程</t>
  </si>
  <si>
    <t>https://ggj.chizhou.gov.cn/front/bidcontent/9005001004/79381538605744c8902498ed33c71167</t>
  </si>
  <si>
    <r>
      <rPr>
        <u/>
        <sz val="10.5"/>
        <color rgb="FF333333"/>
        <rFont val="宋体"/>
        <charset val="134"/>
      </rPr>
      <t>本项目主要建设内容为包含华九路、下皂路、丁洋路、下街一路及古高路老路面修复处理后加铺沥青砼路面，完善沿线交通工程、安保工程及路基排水工程</t>
    </r>
  </si>
  <si>
    <t>东至县城乡供水一体化项目青山水厂新建工程</t>
  </si>
  <si>
    <t>https://ggj.chizhou.gov.cn/front/bidcontent/9005001004/629adab0504d4e08b2b0efb02e6e7bb8</t>
  </si>
  <si>
    <t>青阳县2023年丰收水库等5座小型水库除险加固工程</t>
  </si>
  <si>
    <t>https://ggj.chizhou.gov.cn/front/bidcontent/9005001004/aab2e9bdd31d4b318c28f2278e633b2a</t>
  </si>
  <si>
    <t>2023年青阳县老旧小区改造工程（青年路住宅楼区域）</t>
  </si>
  <si>
    <t>https://ggj.chizhou.gov.cn/front/bidcontent/9005001004/1c4758c9aba440e5967703660d98d285</t>
  </si>
  <si>
    <r>
      <rPr>
        <sz val="10.5"/>
        <color rgb="FF333333"/>
        <rFont val="宋体"/>
        <charset val="134"/>
      </rPr>
      <t>包括提升改造小区道路、景观绿化、机动车停车场、非机动车停车场、给水工程、雨污管网、强弱电设施、燃气管道、消防设施、路灯(庭院灯)、小区智慧化(视频监控、车行道闸、人行门禁系统)，拆除违建物、小区内部环境整治等</t>
    </r>
  </si>
  <si>
    <t>棠溪路排水管网改造等工程-路面“白加黑”项目</t>
  </si>
  <si>
    <t>https://ggj.chizhou.gov.cn/front/bidcontent/9005001004/d50e1573c3fa48b5af436ae3f222136b</t>
  </si>
  <si>
    <r>
      <rPr>
        <sz val="10.5"/>
        <color rgb="FF333333"/>
        <rFont val="宋体"/>
        <charset val="134"/>
      </rPr>
      <t>新建沥青路面摊铺约</t>
    </r>
    <r>
      <rPr>
        <sz val="10.5"/>
        <color rgb="FF333333"/>
        <rFont val="宋体"/>
        <charset val="134"/>
      </rPr>
      <t>7万平方米</t>
    </r>
    <r>
      <rPr>
        <sz val="10.5"/>
        <color rgb="FF333333"/>
        <rFont val="宋体"/>
        <charset val="134"/>
      </rPr>
      <t>、井圈提升、标志、标线</t>
    </r>
  </si>
  <si>
    <t>迎宾花园片区道路排水管网改造等一期工程-路面“白+黑”项目</t>
  </si>
  <si>
    <t>https://ggj.chizhou.gov.cn/front/bidcontent/9005001004/56a685e74747480097198e30a71b4bc5</t>
  </si>
  <si>
    <r>
      <rPr>
        <sz val="10.5"/>
        <color rgb="FF333333"/>
        <rFont val="宋体"/>
        <charset val="134"/>
      </rPr>
      <t>路面摊铺沥青混凝土摊铺约</t>
    </r>
    <r>
      <rPr>
        <sz val="10.5"/>
        <color rgb="FF333333"/>
        <rFont val="宋体"/>
        <charset val="134"/>
      </rPr>
      <t>4万平方米</t>
    </r>
    <r>
      <rPr>
        <sz val="10.5"/>
        <color rgb="FF333333"/>
        <rFont val="宋体"/>
        <charset val="134"/>
      </rPr>
      <t>、道路标线、雨污水检查井和雨水连接井提升及加固等</t>
    </r>
  </si>
  <si>
    <t>青阳县2023年农村公路养护工程（酉宋路、上粽路路面大中修）</t>
  </si>
  <si>
    <t>https://ggj.chizhou.gov.cn/front/bidcontent/9005001004/53e4acb3259f46a98edc9bfeb74f1c53</t>
  </si>
  <si>
    <t>石台县大演乡孙家桥改建工程</t>
  </si>
  <si>
    <t>https://ggj.chizhou.gov.cn/front/bidcontent/9005001004/d79d98d35887474680ceb71a27abfac2</t>
  </si>
  <si>
    <t>贵池区殷汇镇砂石集散中心—原料车间工程（第二次）</t>
  </si>
  <si>
    <t>https://ggj.chizhou.gov.cn/front/bidcontent/9005001004/d67ac7a6df8e4e78924ebc556acfcac0</t>
  </si>
  <si>
    <t>青阳县2023年老旧小区老青中宿舍区域改造项目</t>
  </si>
  <si>
    <t>https://ggj.chizhou.gov.cn/front/bidcontent/9005001004/a688e8e6e1d74d3ca40324509406cf69</t>
  </si>
  <si>
    <t>青阳县2023年老旧小区曹家园老中行宿舍区域改造项目</t>
  </si>
  <si>
    <t>https://ggj.chizhou.gov.cn/front/bidcontent/9005001004/2946a6d451804cbdaa27d0e1ec351be9</t>
  </si>
  <si>
    <r>
      <rPr>
        <sz val="10.5"/>
        <color rgb="FF333333"/>
        <rFont val="宋体"/>
        <charset val="134"/>
      </rPr>
      <t>包括原硬化地面铲除、沥青路面、透水砖路面、塑胶地面、水泥地面、更新自来水管道、新建围墙、雨、污水改造和外墙、楼梯道粉刷等</t>
    </r>
  </si>
  <si>
    <t>贵池主城区小区高层建筑“消防无水”隐患维修建设项目</t>
  </si>
  <si>
    <t>https://ggj.chizhou.gov.cn/front/bidcontent/9005001004/e879a800fa794c8c80fd6f70b1b81e85</t>
  </si>
  <si>
    <t>消防设施工程专业承包</t>
  </si>
  <si>
    <t>青通路、致远路、东至路、碧桂园路提升改造工程</t>
  </si>
  <si>
    <t>https://ggj.chizhou.gov.cn/front/bidcontent/9005001004/785c375cdb15499d837604aeb12137a1</t>
  </si>
  <si>
    <r>
      <rPr>
        <sz val="10.5"/>
        <color rgb="FF333333"/>
        <rFont val="宋体"/>
        <charset val="134"/>
      </rPr>
      <t>原沥青道路铣刨摊铺、人行道翻新、侧石和平石拆除更换、标线、雨水改造及检查井加固工程</t>
    </r>
  </si>
  <si>
    <t>池州市贵池区秋江圩东埂灌区续建配套与节水改造工程（一标段）</t>
  </si>
  <si>
    <t>https://ggj.chizhou.gov.cn/front/bidcontent/9005001004/81abdb5af4a34874bbcdb73401479c9c</t>
  </si>
  <si>
    <r>
      <rPr>
        <sz val="10.5"/>
        <color rgb="FF333333"/>
        <rFont val="宋体"/>
        <charset val="134"/>
      </rPr>
      <t>主要内容为沟渠清淤衬砌工程、节制闸拆除重建、机耕桥拆除重建等</t>
    </r>
  </si>
  <si>
    <t>池州市贵池区秋江圩东埂灌区续建配套与节水改造工程（二标段）</t>
  </si>
  <si>
    <t>https://ggj.chizhou.gov.cn/front/bidcontent/9005001004/ed184c80a9f3445fabf3896daa28a310</t>
  </si>
  <si>
    <t>青阳县外滩综合整治项目（北门停车场至南门桥）</t>
  </si>
  <si>
    <t>https://ggj.chizhou.gov.cn/front/bidcontent/9005001004/79a5d1495a964ff2b8a5aac07d79db5b</t>
  </si>
  <si>
    <r>
      <rPr>
        <sz val="10.5"/>
        <color rgb="FF333333"/>
        <rFont val="宋体"/>
        <charset val="134"/>
      </rPr>
      <t>主要建设内容：拆除工程、行车道、人行道、雨污水工程、交通标志、新建围墙、路灯系统、新建公厕及管理用房改造等</t>
    </r>
  </si>
  <si>
    <t>青阳县2023年老旧小区西峰山庄宿舍区域改造项目</t>
  </si>
  <si>
    <t>https://ggj.chizhou.gov.cn/front/bidcontent/9005001004/050487e6cfb845f2a38d5748fe340453</t>
  </si>
  <si>
    <t>青阳县2023年老旧小区宝灵观小区二期改造项目</t>
  </si>
  <si>
    <t>https://ggj.chizhou.gov.cn/front/bidcontent/9005001004/887f91dafca44269b292b48e4c21c1bf</t>
  </si>
  <si>
    <r>
      <rPr>
        <sz val="10.5"/>
        <color rgb="FF333333"/>
        <rFont val="宋体"/>
        <charset val="134"/>
      </rPr>
      <t>主要建设内容为拆除工程、新建改造工程、给水系统及消火栓系统及安装工程</t>
    </r>
  </si>
  <si>
    <t>安徽池州东至大渡口经开区高湖至工业园区10kV四回线路工程</t>
  </si>
  <si>
    <t>https://ggj.chizhou.gov.cn/front/bidcontent/9005001004/f0e7a25e3b0c4d228abbad9f7ea8e61a</t>
  </si>
  <si>
    <t>九华山风景区代村三期居民点单元房1#楼工程</t>
  </si>
  <si>
    <t>https://ggj.chizhou.gov.cn/front/bidcontent/9005001004/f54ce8ecd0874b92ac6a49b26c640ca9</t>
  </si>
  <si>
    <t>石台县全民健身补短板设施建设工程—马鞍山公共体育场</t>
  </si>
  <si>
    <t>https://ggj.chizhou.gov.cn/front/bidcontent/9005001004/ce9ebafe7d8a41198fc53d0a6be6ccda</t>
  </si>
  <si>
    <t>本项目为石台县全民健身补短板设施建设工程—马鞍山公共体育场，主要内容有：大型土石方工程、新建跑道、篮球场、足球场、配套景观工程、看台、室外雨水管网、污水管网、强电工程、弱电工程、给水工程、消防工程等</t>
  </si>
  <si>
    <t>东至县七里湖灌区续建配套与节水改造项目施工标</t>
  </si>
  <si>
    <t>https://ggj.chizhou.gov.cn/front/bidcontent/9005001004/ab13445f6f914d0f83aa342a4415e4cc</t>
  </si>
  <si>
    <t>综合，报价区间：0.80-0.98，k:0.2，0.3，0.4</t>
  </si>
  <si>
    <t>丁桥集镇园区南侧地块土方平整工程</t>
  </si>
  <si>
    <t>https://ggj.chizhou.gov.cn/front/bidcontent/9005001004/f9c85a720e024f11a1e1f6a24b8f8cc5</t>
  </si>
  <si>
    <r>
      <rPr>
        <sz val="10.5"/>
        <color rgb="FF333333"/>
        <rFont val="宋体"/>
        <charset val="134"/>
      </rPr>
      <t>丁桥集镇园区南侧地块土方平整工程，土方平整工程基本挖填平衡，土方不外运，挖方量为：923007.8m³，填方量为：917967.23m³</t>
    </r>
  </si>
  <si>
    <t>2023年青阳县高标准农田建设项目I标段（丁桥镇）</t>
  </si>
  <si>
    <t>https://ggj.chizhou.gov.cn/front/bidcontent/9005001004/9c97404a8af94df1aeffd17554542bfd</t>
  </si>
  <si>
    <t>报价区间：0.83-0.99，k:0.1，0.2，0.3</t>
  </si>
  <si>
    <t>2023年青阳县高标准农田建设项目II标段（木镇镇）</t>
  </si>
  <si>
    <t>https://ggj.chizhou.gov.cn/front/bidcontent/9005001004/c96f8c98304e405a964665c41ac6c5fa</t>
  </si>
  <si>
    <t>2023年青阳县高标准农田建设项目III标段（乔木乡）</t>
  </si>
  <si>
    <t>https://ggj.chizhou.gov.cn/front/bidcontent/9005001004/57f622420aa14832a5f49e3318ddf177</t>
  </si>
  <si>
    <t>2023年青阳县高标准农田改造提升建设项目IV标段（酉华、朱备镇）</t>
  </si>
  <si>
    <t>https://ggj.chizhou.gov.cn/front/bidcontent/9005001004/23f499c896f2489d95955f797e37a6f6</t>
  </si>
  <si>
    <t>东至县香隅镇梅山小学（香隅中心学校本部分校）教学楼及教辅用房等校安工程项目（二期）</t>
  </si>
  <si>
    <t>https://ggj.chizhou.gov.cn/front/bidcontent/9005001004/697f08906cb6482594b960ad374230ba</t>
  </si>
  <si>
    <t>建筑装修装饰</t>
  </si>
  <si>
    <t>石台县2023年建国等八座水库除险加固工程</t>
  </si>
  <si>
    <t>https://ggj.chizhou.gov.cn/front/bidcontent/9005001004/f8476e429bc54d8181e191402f35fbd2</t>
  </si>
  <si>
    <r>
      <rPr>
        <sz val="9.75"/>
        <color rgb="FF333333"/>
        <rFont val="宋体"/>
        <charset val="134"/>
      </rPr>
      <t>主要建设内容为为水库大坝、溢洪道、放水涵等工程除险加固建设</t>
    </r>
  </si>
  <si>
    <t>蓉溪路(九华电影院至庙前路段)改造工程</t>
  </si>
  <si>
    <t>https://ggj.chizhou.gov.cn/front/bidcontent/9005001004/d6182add6e5243d38f1e371109a7ea8e</t>
  </si>
  <si>
    <r>
      <rPr>
        <sz val="10.5"/>
        <color rgb="FF333333"/>
        <rFont val="宋体"/>
        <charset val="134"/>
      </rPr>
      <t>包括改造道路、雨污管网、雨水检查井、LED路灯购安、电线电缆等</t>
    </r>
  </si>
  <si>
    <t>池黄高铁九华山站站前广场及配套基础设施建设工程（二次）</t>
  </si>
  <si>
    <t>https://ggj.chizhou.gov.cn/front/bidcontent/9005001004/ba76b0ad093e4eafbc654f3430235bdd</t>
  </si>
  <si>
    <t>9-13.9</t>
  </si>
  <si>
    <r>
      <rPr>
        <sz val="10.5"/>
        <color rgb="FF333333"/>
        <rFont val="宋体"/>
        <charset val="134"/>
      </rPr>
      <t>包含旅游集散中心、客运中心、站前交通转换盒、风雨长廊及地下停车场，配套建设充电桩、智能化、公共卫生间、公共绿地工程、给排水工程、电气工程、消防工程、道路广场工程及其他附属设施等</t>
    </r>
  </si>
  <si>
    <t>新河镇常洲村（童埠）搬迁安置区室外附属及宅基地基础工程</t>
  </si>
  <si>
    <t>https://ggj.chizhou.gov.cn/front/bidcontent/9005001004/348caa997eca4d54bb862cb1dd2c7671</t>
  </si>
  <si>
    <r>
      <rPr>
        <sz val="10.5"/>
        <color rgb="FF333333"/>
        <rFont val="宋体"/>
        <charset val="134"/>
      </rPr>
      <t>包括新建宅基地基础、室外附属、水电安装、沥青道路等</t>
    </r>
  </si>
  <si>
    <t>青阳县2023年老旧小区茧巷宿舍区域改造项目</t>
  </si>
  <si>
    <t>https://ggj.chizhou.gov.cn/front/bidcontent/9005001004/f086d01ded0d481cab8bee4dbafa79c1</t>
  </si>
  <si>
    <r>
      <rPr>
        <sz val="10.5"/>
        <color rgb="FF333333"/>
        <rFont val="宋体"/>
        <charset val="134"/>
      </rPr>
      <t>包括小区</t>
    </r>
    <r>
      <rPr>
        <sz val="12"/>
        <color rgb="FF333333"/>
        <rFont val="宋体"/>
        <charset val="134"/>
      </rPr>
      <t>透水混凝土路面改造、屋面改造、外墙改造、雨污水管网改造、室外给水改造、电气改造、弱电改造等</t>
    </r>
  </si>
  <si>
    <t>池州高新区电子信息区基础设施提升—职工宿舍改造项目</t>
  </si>
  <si>
    <t>https://ggj.chizhou.gov.cn/front/bidcontent/9005001004/ac4187e7c00e4179b90b0a6064c64bf8</t>
  </si>
  <si>
    <t>青阳县蓉城镇X307G318交口至荷风莲影基地升级改造工程</t>
  </si>
  <si>
    <t>https://ggj.chizhou.gov.cn/front/bidcontent/9005001004/bc825d3987eb481bbefdc250048960a8</t>
  </si>
  <si>
    <t>青阳县临城北路(北外环至九华西路段)改造工程</t>
  </si>
  <si>
    <t>https://ggj.chizhou.gov.cn/front/bidcontent/9005001004/dbf9eeb487d74f3e989ed76661cdafdc</t>
  </si>
  <si>
    <r>
      <rPr>
        <sz val="10.5"/>
        <color rgb="FF333333"/>
        <rFont val="宋体"/>
        <charset val="134"/>
      </rPr>
      <t>主要建设内容为图纸范围内道路、排水、交通等工程内容</t>
    </r>
  </si>
  <si>
    <t>青阳县第一中学和平堂及女生公寓维修改造工程</t>
  </si>
  <si>
    <t>https://ggj.chizhou.gov.cn/front/bidcontent/9005001004/d1a07f5619af40f49cfd0f8fe067ce5d</t>
  </si>
  <si>
    <t>受均值影响较大</t>
  </si>
  <si>
    <t>池州职业技术学院实验实训综合提升项目（技能大赛训练基地）</t>
  </si>
  <si>
    <t>https://ggj.chizhou.gov.cn/front/bidcontent/9005001004/a855150563ae4e4abc215365f285e846</t>
  </si>
  <si>
    <t>九华山风景区中小学校园安全提升改建工程</t>
  </si>
  <si>
    <t>https://ggj.chizhou.gov.cn/front/bidcontent/9005001004/3e65311785b34cbb8cb79c51b09f8215</t>
  </si>
  <si>
    <t>童埠圩堤防提标升级项目（青阳县童埠圩堤防2022年度应急加固工程）</t>
  </si>
  <si>
    <t>https://ggj.chizhou.gov.cn/front/bidcontent/9005001004/f62e6dea424d4f7a8d347442b188a7bd</t>
  </si>
  <si>
    <t>2023年贵池区高标准农田建设项目2标段（秋江街道阮桥社区）</t>
  </si>
  <si>
    <t>https://ggj.chizhou.gov.cn/front/bidcontent/9005001004/d5bce31ce7034706b5b9b70a87a87c8d</t>
  </si>
  <si>
    <t>2023年贵池区高标准农田建设项目3标段（秋江街道万宝村)</t>
  </si>
  <si>
    <t>https://ggj.chizhou.gov.cn/front/bidcontent/9005001004/11136f9e1b804305b8d93b9701905780</t>
  </si>
  <si>
    <r>
      <rPr>
        <sz val="10.5"/>
        <color rgb="FF333333"/>
        <rFont val="宋体"/>
        <charset val="134"/>
      </rPr>
      <t>包括:渠道工程、山塘整治工程、过路涵工程、节制闸工程、农桥工程、泵站土建工程、标识标牌工程、田间道路工程、科技推广措施、机电设备及安装工程、金属结构设备及安装工程等</t>
    </r>
  </si>
  <si>
    <t>2023年贵池区高标准农田建设项目4标段（乌沙镇）</t>
  </si>
  <si>
    <t>https://ggj.chizhou.gov.cn/front/bidcontent/9005001004/2e02f5e174f848e09bb9bab0a3ac71a1</t>
  </si>
  <si>
    <t>殷汇镇汇安西路南侧慢行系统建设工程</t>
  </si>
  <si>
    <t>https://ggj.chizhou.gov.cn/front/bidcontent/9005001004/f2ce3e45241646fb8ef22831afbcf840</t>
  </si>
  <si>
    <t>10.2-14.9</t>
  </si>
  <si>
    <r>
      <rPr>
        <sz val="10.5"/>
        <color rgb="FF333333"/>
        <rFont val="宋体"/>
        <charset val="134"/>
      </rPr>
      <t>主要包括新建非机动车道、慢步道、挡土墙、花岗岩侧石、水沟、观景平台等土建工程、抗旱管道、雨水排水管道等管网工程及路灯安装工程</t>
    </r>
  </si>
  <si>
    <t>2023年贵池区高标准农田建设项目5标段（殷汇镇）</t>
  </si>
  <si>
    <t>https://ggj.chizhou.gov.cn/front/bidcontent/9005001004/1d10b1e2f4af4be9a14a9595c6996e7d</t>
  </si>
  <si>
    <t>2023年贵池区高标准农田建设项目7标段（梅龙街道）</t>
  </si>
  <si>
    <t>https://ggj.chizhou.gov.cn/front/bidcontent/9005001004/d9603ca5b05b4ffbad30df2093e11e57</t>
  </si>
  <si>
    <t>2023年贵池区高标准农田建设项目8标段（涓桥镇、墩上家人家庭农场）</t>
  </si>
  <si>
    <t>https://ggj.chizhou.gov.cn/front/bidcontent/9005001004/bfaea8ff37eb4233b7896ef6870c7d5f</t>
  </si>
  <si>
    <t>东至安东建新混凝土搅拌站工程</t>
  </si>
  <si>
    <t>https://ggj.chizhou.gov.cn/front/bidcontent/9005001004/a3bb98e4d9e5434ca6df7a2020da2240</t>
  </si>
  <si>
    <t>实际报价可能除去某部分费用下浮5个点</t>
  </si>
  <si>
    <r>
      <rPr>
        <sz val="10.5"/>
        <color rgb="FF000000"/>
        <rFont val="宋体"/>
        <charset val="134"/>
      </rPr>
      <t>安徽省地矿局324地质队科研业务用房建设项目</t>
    </r>
  </si>
  <si>
    <t>https://ggj.chizhou.gov.cn/front/bidcontent/9005001004/7e618b65f36e42d0aff1f62eee628213</t>
  </si>
  <si>
    <t>8-10</t>
  </si>
  <si>
    <t>东至县张溪镇正鹏采石场废弃矿山生态环境保护修复治理工程</t>
  </si>
  <si>
    <t>https://ggj.chizhou.gov.cn/front/bidcontent/9005001004/be3b41c67b654ccb8f47cce668ec979e</t>
  </si>
  <si>
    <r>
      <rPr>
        <sz val="12"/>
        <color rgb="FF333333"/>
        <rFont val="宋体"/>
        <charset val="134"/>
      </rPr>
      <t>地质灾害防治（治理）工程施工</t>
    </r>
  </si>
  <si>
    <t>池州市贵池区秋江圩东埂灌区续建配套与节水改造信息化工程</t>
  </si>
  <si>
    <t>https://ggj.chizhou.gov.cn/front/bidcontent/9005001004/da732585f3254795ad4820cba4b2f8a8</t>
  </si>
  <si>
    <t>综合，报价区间：0.85-0.98，k:0.2，0.3，0.4</t>
  </si>
  <si>
    <r>
      <rPr>
        <sz val="10.5"/>
        <color rgb="FF333333"/>
        <rFont val="宋体"/>
        <charset val="134"/>
      </rPr>
      <t>主要内容为管道式输水管路量测水系统、明渠量测水设备、水位监测、视频监控系统、闸门控制系统、会商室及机房、信息化管理系统软件等</t>
    </r>
  </si>
  <si>
    <t>东至经开区东华水务及红太阳10KV线路工程</t>
  </si>
  <si>
    <t>https://ggj.chizhou.gov.cn/front/bidcontent/9005001004/6c6e0a5543fe4222b719828b661af9f0</t>
  </si>
  <si>
    <r>
      <rPr>
        <sz val="12"/>
        <color rgb="FF333333"/>
        <rFont val="宋体"/>
        <charset val="134"/>
      </rPr>
      <t>本工程架空段采用同杆双回路设计，共新建杆塔58基，其中φ190-15m水泥杆46基，φ190-18m水泥杆3基，φ350-15m大弯矩杆3基，双回路钢管杆6基。电缆段D1井-D3井、D6井-D7井、D8井-D9井、D10井-D11井段和D12井-D14井段电缆线路采用4根内径φ175mmMPP管，D3井-D5井段和D14井-D18井段电缆线路采用2根内径φ175mmMPP管</t>
    </r>
  </si>
  <si>
    <t>2023年贵池区高标准农田建设项目9标段（墩上街道）</t>
  </si>
  <si>
    <t>https://ggj.chizhou.gov.cn/front/bidcontent/9005001004/0e0f9c764687472eb17c0c33dd811225</t>
  </si>
  <si>
    <t>综合，报价区间：0.90-0.98，k:0.2，0.3，0.4</t>
  </si>
  <si>
    <t>青阳县2023年文明创建标线标牌工程</t>
  </si>
  <si>
    <t>https://ggj.chizhou.gov.cn/front/bidcontent/9005001004/6076e062062d4032a78adbe10b6be43d</t>
  </si>
  <si>
    <t>东至县2023年度西村、姚山等22座水库除险加固工程一标段</t>
  </si>
  <si>
    <t>https://ggj.chizhou.gov.cn/front/bidcontent/9005001004/d70dfc6e14eb4fe299221f506c765a92</t>
  </si>
  <si>
    <t>东至县2023年度西村、姚山等22座水库除险加固工程二标段</t>
  </si>
  <si>
    <t>https://ggj.chizhou.gov.cn/front/bidcontent/9005001004/79f2e669b2724fca870cbdf5d0760f56</t>
  </si>
  <si>
    <t>东至县2023年度西村、姚山等22座水库除险加固工程三标段</t>
  </si>
  <si>
    <t>https://ggj.chizhou.gov.cn/front/bidcontent/9005001004/430a79b902294f1cb6fe7bc1b56e4d08</t>
  </si>
  <si>
    <t>东至县2023年度西村、姚山等22座水库除险加固工程五标段</t>
  </si>
  <si>
    <t>https://ggj.chizhou.gov.cn/front/bidcontent/9005001004/3c95c213e20c458688078960cf5f6c38</t>
  </si>
  <si>
    <t>东至县2023年度西村、姚山等22座水库除险加固工程四标段</t>
  </si>
  <si>
    <t>https://ggj.chizhou.gov.cn/front/bidcontent/9005001004/694aeeed68be4e99bfa5f86a68a4e537</t>
  </si>
  <si>
    <t>贵池区2023年鲍冲水库、双胜水库、乌沙董冲水库除险加固工程</t>
  </si>
  <si>
    <t>https://ggj.chizhou.gov.cn/front/bidcontent/9005001004/326e8c91c2544bcfa5b88efef5a19aee</t>
  </si>
  <si>
    <t>贵池区2023年芦冲水库、小麦坑水库、周冲水库除险加固工程</t>
  </si>
  <si>
    <t>https://ggj.chizhou.gov.cn/front/bidcontent/9005001004/16706819105f48b4bcac59c89ca293d2</t>
  </si>
  <si>
    <r>
      <rPr>
        <sz val="12"/>
        <color rgb="FF333333"/>
        <rFont val="宋体"/>
        <charset val="134"/>
      </rPr>
      <t>主要工作内容为：大坝加固、放水涵加固、溢洪道加固、灌溉涵进口段拆除重建、输水建筑物、管护设施、安全监测、其它建筑工程、机电设备及安装工程、金属结构设备及安装工程等</t>
    </r>
  </si>
  <si>
    <r>
      <rPr>
        <sz val="10.5"/>
        <color rgb="FF333333"/>
        <rFont val="宋体"/>
        <charset val="134"/>
      </rPr>
      <t>2023年东至县高标准农田建设项目施工</t>
    </r>
  </si>
  <si>
    <t>https://ggj.chizhou.gov.cn/front/bidcontent/9005001004/3a0eab82a1c843d884a340024e1746f2</t>
  </si>
  <si>
    <r>
      <rPr>
        <sz val="10.5"/>
        <color rgb="FF000000"/>
        <rFont val="宋体"/>
        <charset val="134"/>
      </rPr>
      <t>东至县大渡口镇2023年农村公路自然村通硬化路和联网路建设工程（5标段）</t>
    </r>
  </si>
  <si>
    <t>https://ggj.chizhou.gov.cn/front/bidcontent/9005001004/63b03233b30d4f22ba23908a9b37d79e</t>
  </si>
  <si>
    <r>
      <rPr>
        <sz val="10.5"/>
        <color rgb="FF333333"/>
        <rFont val="宋体"/>
        <charset val="134"/>
      </rPr>
      <t>池州皖能天然气有限公司北门站</t>
    </r>
    <r>
      <rPr>
        <sz val="10.5"/>
        <color rgb="FF333333"/>
        <rFont val="微软雅黑"/>
        <charset val="134"/>
      </rPr>
      <t>-LNG</t>
    </r>
    <r>
      <rPr>
        <sz val="10.5"/>
        <color rgb="FF333333"/>
        <rFont val="宋体"/>
        <charset val="134"/>
      </rPr>
      <t>气化合建站项目一期工程</t>
    </r>
  </si>
  <si>
    <t>https://ggj.chizhou.gov.cn/front/bidcontent/9005001004/4d32445a7f704a78b45e50f2c441dc6c</t>
  </si>
  <si>
    <t>0.5-10综合</t>
  </si>
  <si>
    <t>市政公用工程施工总承包和建筑工程施工总承包</t>
  </si>
  <si>
    <r>
      <rPr>
        <sz val="10.5"/>
        <color rgb="FF333333"/>
        <rFont val="宋体"/>
        <charset val="134"/>
      </rPr>
      <t>木镇工业园区保障性租赁住房1-4号楼工程</t>
    </r>
  </si>
  <si>
    <t>https://ggj.chizhou.gov.cn/front/bidcontent/9005001003/c4f54c385fc34d8498d803079639c1cf</t>
  </si>
  <si>
    <r>
      <rPr>
        <sz val="10.5"/>
        <color rgb="FF333333"/>
        <rFont val="宋体"/>
        <charset val="134"/>
      </rPr>
      <t>木镇工业园区保障性租赁住房1-4号楼工程，项目建筑面积8744㎡，包括建设保障性租赁住房4栋，配套服务用房1栋建筑面积828㎡、管理用房约360㎡，门卫室30㎡，配套建设131个小车公共停车位、100个非机动车位以及围墙约600m，同步完成区内道路绿化亮化、电力、消防、环保、给排水、安防等公共配套设施</t>
    </r>
  </si>
  <si>
    <t>C</t>
  </si>
  <si>
    <t>实际下浮</t>
  </si>
  <si>
    <t>下浮</t>
  </si>
  <si>
    <t>分类</t>
  </si>
  <si>
    <r>
      <rPr>
        <sz val="10.5"/>
        <color rgb="FF333333"/>
        <rFont val="宋体"/>
        <charset val="134"/>
      </rPr>
      <t>九华山风景区代村三期居民点单元房1#楼工程</t>
    </r>
  </si>
  <si>
    <t>建筑施工/房屋建筑</t>
  </si>
  <si>
    <r>
      <rPr>
        <sz val="11.25"/>
        <color rgb="FF333333"/>
        <rFont val="宋体"/>
        <charset val="134"/>
      </rPr>
      <t>东至安东建新混凝土搅拌站工程</t>
    </r>
  </si>
  <si>
    <r>
      <rPr>
        <sz val="10.5"/>
        <color rgb="FF333333"/>
        <rFont val="宋体"/>
        <charset val="134"/>
      </rPr>
      <t>九华山风景区中小学校园安全提升改建工程</t>
    </r>
  </si>
  <si>
    <t>建筑工程</t>
  </si>
  <si>
    <r>
      <rPr>
        <sz val="10.5"/>
        <color rgb="FF333333"/>
        <rFont val="宋体"/>
        <charset val="134"/>
      </rPr>
      <t>池州职业技术学院实验实训综合提升项目（技能大赛训练基地）</t>
    </r>
  </si>
  <si>
    <r>
      <rPr>
        <sz val="10.5"/>
        <color rgb="FF333333"/>
        <rFont val="宋体"/>
        <charset val="134"/>
      </rPr>
      <t>青阳县第一中学和平堂及女生公寓维修改造工程</t>
    </r>
  </si>
  <si>
    <r>
      <rPr>
        <sz val="10.5"/>
        <color rgb="FF333333"/>
        <rFont val="宋体"/>
        <charset val="134"/>
      </rPr>
      <t>池州高新区电子信息区基础设施提升—职工宿舍改造项目</t>
    </r>
  </si>
  <si>
    <r>
      <rPr>
        <sz val="10.5"/>
        <color rgb="FF333333"/>
        <rFont val="宋体"/>
        <charset val="134"/>
      </rPr>
      <t>东至县香隅镇梅山小学（香隅中心学校本部分校）教学楼及教辅用房等校安工程项目（二期）</t>
    </r>
  </si>
  <si>
    <r>
      <rPr>
        <sz val="10.5"/>
        <color rgb="FF333333"/>
        <rFont val="宋体"/>
        <charset val="134"/>
      </rPr>
      <t>贵池主城区小区高层建筑“消防无水”隐患维修建设项目</t>
    </r>
  </si>
  <si>
    <t>消防设施工程</t>
  </si>
  <si>
    <r>
      <rPr>
        <sz val="10.5"/>
        <color rgb="FF333333"/>
        <rFont val="宋体"/>
        <charset val="134"/>
      </rPr>
      <t>贵池区殷汇镇砂石集散中心—原料车间工程（第二次）</t>
    </r>
  </si>
  <si>
    <t>建筑工程施工</t>
  </si>
  <si>
    <r>
      <rPr>
        <sz val="12"/>
        <color rgb="FF333333"/>
        <rFont val="宋体"/>
        <charset val="134"/>
      </rPr>
      <t>石台县乡村振兴富硒产业融合发展示范区-大演乡乡村振兴创业园（生态富硒农产品加工园区建设项目二期）</t>
    </r>
  </si>
  <si>
    <r>
      <rPr>
        <sz val="12"/>
        <color rgb="FF000000"/>
        <rFont val="宋体"/>
        <charset val="134"/>
      </rPr>
      <t>池州市精神卫生福利设施建设项目A2-A4#楼、大门及室外工程（三次）</t>
    </r>
  </si>
  <si>
    <r>
      <rPr>
        <sz val="11.25"/>
        <color rgb="FF333333"/>
        <rFont val="宋体"/>
        <charset val="134"/>
      </rPr>
      <t>大渡口仙寓山安置房三期项目施工用砖主材采购项目</t>
    </r>
  </si>
  <si>
    <r>
      <rPr>
        <sz val="10.5"/>
        <color rgb="FF000000"/>
        <rFont val="宋体"/>
        <charset val="134"/>
      </rPr>
      <t>安徽卫生健康职业学院大学生活动中心（食堂）及东片环境提升工程</t>
    </r>
  </si>
  <si>
    <r>
      <rPr>
        <sz val="10.5"/>
        <color rgb="FF333333"/>
        <rFont val="宋体"/>
        <charset val="134"/>
      </rPr>
      <t>青阳县经济开发区产业提升建设项目（标准化厂房一期工程） </t>
    </r>
  </si>
  <si>
    <r>
      <rPr>
        <sz val="10.5"/>
        <color rgb="FF333333"/>
        <rFont val="宋体"/>
        <charset val="134"/>
      </rPr>
      <t>新增六七房里居民点5#楼</t>
    </r>
  </si>
  <si>
    <r>
      <rPr>
        <sz val="10.5"/>
        <color rgb="FF333333"/>
        <rFont val="宋体"/>
        <charset val="134"/>
      </rPr>
      <t>石台县皖南黄兔原种基地建设项目一期工程</t>
    </r>
  </si>
  <si>
    <r>
      <rPr>
        <sz val="10.5"/>
        <color rgb="FF333333"/>
        <rFont val="宋体"/>
        <charset val="134"/>
      </rPr>
      <t>青阳县人民医院直线加速器、核医学科及高压氧舱项目</t>
    </r>
  </si>
  <si>
    <r>
      <rPr>
        <sz val="10.5"/>
        <color rgb="FF333333"/>
        <rFont val="宋体"/>
        <charset val="134"/>
      </rPr>
      <t>石台县医养资源整合提标工程暨仁里镇卫生院建设工程</t>
    </r>
  </si>
  <si>
    <r>
      <rPr>
        <sz val="10.5"/>
        <color rgb="FF333333"/>
        <rFont val="宋体"/>
        <charset val="134"/>
      </rPr>
      <t>石台县医养资源整合提标工程暨矶滩乡卫生院建设工程</t>
    </r>
  </si>
  <si>
    <r>
      <rPr>
        <sz val="10.5"/>
        <color rgb="FF333333"/>
        <rFont val="宋体"/>
        <charset val="134"/>
      </rPr>
      <t>池州市第二人民医院门诊及感染病区综合楼建设项目</t>
    </r>
    <r>
      <rPr>
        <sz val="10.5"/>
        <color rgb="FF333333"/>
        <rFont val="Times New Roman"/>
        <charset val="134"/>
      </rPr>
      <t>-</t>
    </r>
    <r>
      <rPr>
        <sz val="10.5"/>
        <color rgb="FF333333"/>
        <rFont val="宋体"/>
        <charset val="134"/>
      </rPr>
      <t>门诊综合楼</t>
    </r>
  </si>
  <si>
    <r>
      <rPr>
        <sz val="10.5"/>
        <color rgb="FF000000"/>
        <rFont val="宋体"/>
        <charset val="134"/>
      </rPr>
      <t>九华山风景区六七房里居民点单元房（4#、5#、6#楼）项目</t>
    </r>
  </si>
  <si>
    <r>
      <rPr>
        <sz val="10.5"/>
        <color rgb="FF333333"/>
        <rFont val="宋体"/>
        <charset val="134"/>
      </rPr>
      <t>江南电子信息产业园北外立面、幕墙玻璃及景观道排附属工程</t>
    </r>
  </si>
  <si>
    <r>
      <rPr>
        <sz val="10.5"/>
        <color rgb="FF333333"/>
        <rFont val="宋体"/>
        <charset val="134"/>
      </rPr>
      <t>3121工程1#标段</t>
    </r>
  </si>
  <si>
    <r>
      <rPr>
        <sz val="10.5"/>
        <color rgb="FF333333"/>
        <rFont val="宋体"/>
        <charset val="134"/>
      </rPr>
      <t>3121工程2#标段</t>
    </r>
  </si>
  <si>
    <r>
      <rPr>
        <sz val="14.25"/>
        <color rgb="FF333333"/>
        <rFont val="仿宋"/>
        <charset val="134"/>
      </rPr>
      <t>月亮湖小学扩建工程（一期）</t>
    </r>
  </si>
  <si>
    <r>
      <rPr>
        <sz val="10.5"/>
        <color rgb="FF000000"/>
        <rFont val="宋体"/>
        <charset val="134"/>
      </rPr>
      <t>青阳县第五幼儿园建设项目</t>
    </r>
  </si>
  <si>
    <r>
      <rPr>
        <sz val="12"/>
        <color rgb="FF333333"/>
        <rFont val="宋体"/>
        <charset val="134"/>
      </rPr>
      <t>石台县仙寓镇旅游产业提升工程</t>
    </r>
  </si>
  <si>
    <r>
      <rPr>
        <sz val="10.5"/>
        <color rgb="FF333333"/>
        <rFont val="宋体"/>
        <charset val="134"/>
      </rPr>
      <t>贵池区牛头山镇卫生院公共卫生提升建设项目</t>
    </r>
  </si>
  <si>
    <r>
      <rPr>
        <sz val="10.5"/>
        <color rgb="FF333333"/>
        <rFont val="宋体"/>
        <charset val="134"/>
      </rPr>
      <t>年产30万吨高性能镁基轻合金项目铁路以东晒衣岭及盛公山厂区外侧地块工程（第二次）</t>
    </r>
  </si>
  <si>
    <r>
      <rPr>
        <sz val="12"/>
        <color rgb="FF333333"/>
        <rFont val="宋体"/>
        <charset val="134"/>
      </rPr>
      <t>石台县小河镇农民工创业园建设项目</t>
    </r>
  </si>
  <si>
    <r>
      <rPr>
        <sz val="10.5"/>
        <color rgb="FF000000"/>
        <rFont val="宋体"/>
        <charset val="134"/>
      </rPr>
      <t>安徽卫生健康职业学院7#学生公寓工程</t>
    </r>
  </si>
  <si>
    <r>
      <rPr>
        <sz val="10.5"/>
        <color rgb="FF000000"/>
        <rFont val="宋体"/>
        <charset val="134"/>
      </rPr>
      <t>池州市贵池区滨江幼儿园新建项目</t>
    </r>
  </si>
  <si>
    <r>
      <rPr>
        <sz val="10.5"/>
        <color rgb="FF000000"/>
        <rFont val="宋体"/>
        <charset val="134"/>
      </rPr>
      <t>池州市贵池区职业学校东部校区建设项目教学楼（一期）</t>
    </r>
  </si>
  <si>
    <r>
      <rPr>
        <sz val="10.5"/>
        <color rgb="FF333333"/>
        <rFont val="宋体"/>
        <charset val="134"/>
      </rPr>
      <t>七都镇乡村振兴产业园（七都镇小微企业创新创业示范基地）建设项目一期</t>
    </r>
    <r>
      <rPr>
        <sz val="10.5"/>
        <color rgb="FF333333"/>
        <rFont val="Times New Roman"/>
        <charset val="134"/>
      </rPr>
      <t>3#</t>
    </r>
    <r>
      <rPr>
        <sz val="10.5"/>
        <color rgb="FF333333"/>
        <rFont val="宋体"/>
        <charset val="134"/>
      </rPr>
      <t>厂房</t>
    </r>
  </si>
  <si>
    <r>
      <rPr>
        <sz val="10.5"/>
        <color rgb="FF000000"/>
        <rFont val="宋体"/>
        <charset val="134"/>
      </rPr>
      <t>池州高新区东区地块3场地平整工程</t>
    </r>
  </si>
  <si>
    <r>
      <rPr>
        <sz val="10.5"/>
        <color rgb="FF333333"/>
        <rFont val="宋体"/>
        <charset val="134"/>
      </rPr>
      <t>池州市贵池区馨香花园安置点A区A1#~A6#及地下室土建工程项目</t>
    </r>
  </si>
  <si>
    <r>
      <rPr>
        <sz val="10.5"/>
        <color rgb="FF333333"/>
        <rFont val="宋体"/>
        <charset val="134"/>
      </rPr>
      <t>石台县丁香乡村振兴园(实训基地)项目</t>
    </r>
  </si>
  <si>
    <r>
      <rPr>
        <sz val="10.5"/>
        <color rgb="FF333333"/>
        <rFont val="宋体"/>
        <charset val="134"/>
      </rPr>
      <t>石台县城东安置小区二期</t>
    </r>
    <r>
      <rPr>
        <sz val="10.5"/>
        <color rgb="FF333333"/>
        <rFont val="宋体"/>
        <charset val="134"/>
      </rPr>
      <t> </t>
    </r>
  </si>
  <si>
    <r>
      <rPr>
        <sz val="10.5"/>
        <color rgb="FF000000"/>
        <rFont val="宋体"/>
        <charset val="134"/>
      </rPr>
      <t>新城明珠小学新建综合楼及多功能报告厅建设项目</t>
    </r>
  </si>
  <si>
    <r>
      <rPr>
        <sz val="10.5"/>
        <color rgb="FF333333"/>
        <rFont val="宋体"/>
        <charset val="134"/>
      </rPr>
      <t>池州市贵池区梅里新村一期（B区）安置点B1#</t>
    </r>
    <r>
      <rPr>
        <b/>
        <sz val="15.75"/>
        <color rgb="FF333333"/>
        <rFont val="Times New Roman"/>
        <charset val="134"/>
      </rPr>
      <t>~</t>
    </r>
    <r>
      <rPr>
        <sz val="10.5"/>
        <color rgb="FF333333"/>
        <rFont val="宋体"/>
        <charset val="134"/>
      </rPr>
      <t>B6#楼及地下室土建工程</t>
    </r>
  </si>
  <si>
    <r>
      <rPr>
        <sz val="10.5"/>
        <color rgb="FF000000"/>
        <rFont val="宋体"/>
        <charset val="134"/>
      </rPr>
      <t>安徽钜芯半导体科技有限公司生产厂区（二期）建设项目</t>
    </r>
  </si>
  <si>
    <t>开标基价</t>
  </si>
  <si>
    <r>
      <rPr>
        <sz val="10.5"/>
        <color rgb="FF333333"/>
        <rFont val="宋体"/>
        <charset val="134"/>
      </rPr>
      <t>东部新城雨污水管网和人行道改造及绿化提升一期工程</t>
    </r>
    <r>
      <rPr>
        <sz val="10.5"/>
        <color rgb="FF333333"/>
        <rFont val="宋体"/>
        <charset val="134"/>
      </rPr>
      <t>(生态路、康庄路、殷汇路路面改造工程)</t>
    </r>
  </si>
  <si>
    <r>
      <rPr>
        <sz val="10.5"/>
        <color rgb="FF333333"/>
        <rFont val="宋体"/>
        <charset val="134"/>
      </rPr>
      <t>市政公用工程</t>
    </r>
  </si>
  <si>
    <r>
      <rPr>
        <sz val="10.5"/>
        <color rgb="FF333333"/>
        <rFont val="宋体"/>
        <charset val="134"/>
      </rPr>
      <t>平天湖水环境整治工程</t>
    </r>
    <r>
      <rPr>
        <sz val="10.5"/>
        <color rgb="FF333333"/>
        <rFont val="宋体"/>
        <charset val="134"/>
      </rPr>
      <t>-平天湖生态湿地修复二期-B包</t>
    </r>
  </si>
  <si>
    <r>
      <rPr>
        <sz val="10.5"/>
        <color rgb="FF333333"/>
        <rFont val="宋体"/>
        <charset val="134"/>
      </rPr>
      <t>池州市老港区长江岸线生态修复工程</t>
    </r>
    <r>
      <rPr>
        <sz val="10.5"/>
        <color rgb="FF333333"/>
        <rFont val="宋体"/>
        <charset val="134"/>
      </rPr>
      <t>-秋浦河滨水绿道工程</t>
    </r>
  </si>
  <si>
    <r>
      <rPr>
        <sz val="10.5"/>
        <color rgb="FF333333"/>
        <rFont val="宋体"/>
        <charset val="134"/>
      </rPr>
      <t>池州市老港区长江岸线生态修复工程-刘婆矶桥建设工程（第二次）</t>
    </r>
  </si>
  <si>
    <r>
      <rPr>
        <sz val="10.5"/>
        <color rgb="FF333333"/>
        <rFont val="宋体"/>
        <charset val="134"/>
      </rPr>
      <t>池州市城市公交站牌及候车亭新建项目</t>
    </r>
  </si>
  <si>
    <r>
      <rPr>
        <sz val="12"/>
        <color rgb="FF333333"/>
        <rFont val="宋体"/>
        <charset val="134"/>
      </rPr>
      <t>池州市老港区长江岸线生态修复工程-东湖北路桥入口景观工程</t>
    </r>
  </si>
  <si>
    <r>
      <rPr>
        <sz val="10.5"/>
        <color rgb="FF333333"/>
        <rFont val="宋体"/>
        <charset val="134"/>
      </rPr>
      <t>青阳县九子大道绿化提升工程</t>
    </r>
  </si>
  <si>
    <r>
      <rPr>
        <sz val="10.5"/>
        <color rgb="FF333333"/>
        <rFont val="宋体"/>
        <charset val="134"/>
      </rPr>
      <t>天华路（莲花路至四中南侧院墙段）道排工程</t>
    </r>
    <r>
      <rPr>
        <sz val="10.5"/>
        <color rgb="FF333333"/>
        <rFont val="宋体"/>
        <charset val="134"/>
      </rPr>
      <t> </t>
    </r>
  </si>
  <si>
    <r>
      <rPr>
        <sz val="10.5"/>
        <color rgb="FF333333"/>
        <rFont val="宋体"/>
        <charset val="134"/>
      </rPr>
      <t>丁桥镇美丽集镇建设集镇改造工程（二次）</t>
    </r>
  </si>
  <si>
    <r>
      <rPr>
        <sz val="10.5"/>
        <color rgb="FF333333"/>
        <rFont val="宋体"/>
        <charset val="134"/>
      </rPr>
      <t>木镇镇全民健身文化休闲广场项目</t>
    </r>
  </si>
  <si>
    <r>
      <rPr>
        <sz val="10.5"/>
        <color rgb="FF333333"/>
        <rFont val="宋体"/>
        <charset val="134"/>
      </rPr>
      <t>九华山风景区九华雅苑小区改造工程</t>
    </r>
  </si>
  <si>
    <r>
      <rPr>
        <sz val="10.5"/>
        <color rgb="FF333333"/>
        <rFont val="宋体"/>
        <charset val="134"/>
      </rPr>
      <t>杜村乡美丽集镇建设主干道升级改造工程</t>
    </r>
    <r>
      <rPr>
        <sz val="10.5"/>
        <color rgb="FF333333"/>
        <rFont val="宋体"/>
        <charset val="134"/>
      </rPr>
      <t> </t>
    </r>
  </si>
  <si>
    <r>
      <rPr>
        <sz val="10.5"/>
        <color rgb="FF333333"/>
        <rFont val="宋体"/>
        <charset val="134"/>
      </rPr>
      <t>九华山中心学校优质均衡发展提升工程-场内改造</t>
    </r>
  </si>
  <si>
    <r>
      <rPr>
        <sz val="10.5"/>
        <color rgb="FF333333"/>
        <rFont val="宋体"/>
        <charset val="134"/>
      </rPr>
      <t>青阳县锦绣路（望华路至天柱路段）道排工程</t>
    </r>
    <r>
      <rPr>
        <sz val="10.5"/>
        <color rgb="FF333333"/>
        <rFont val="宋体"/>
        <charset val="134"/>
      </rPr>
      <t> </t>
    </r>
  </si>
  <si>
    <r>
      <rPr>
        <sz val="10.5"/>
        <color rgb="FF333333"/>
        <rFont val="宋体"/>
        <charset val="134"/>
      </rPr>
      <t>池州市东至路污水管道改造工程二期</t>
    </r>
  </si>
  <si>
    <r>
      <rPr>
        <sz val="10.5"/>
        <color rgb="FF333333"/>
        <rFont val="宋体"/>
        <charset val="134"/>
      </rPr>
      <t>西苑路（含花溪路）道路建设工程</t>
    </r>
  </si>
  <si>
    <r>
      <rPr>
        <sz val="10.5"/>
        <color rgb="FF333333"/>
        <rFont val="宋体"/>
        <charset val="134"/>
      </rPr>
      <t>五溪山色文化旅游度假区扩建项目文宗古村景观绿化工程</t>
    </r>
  </si>
  <si>
    <r>
      <rPr>
        <sz val="10.5"/>
        <color rgb="FF333333"/>
        <rFont val="宋体"/>
        <charset val="134"/>
      </rPr>
      <t>丁香镇库山虎积林1000亩香榧基地建设（观摩点）项目</t>
    </r>
  </si>
  <si>
    <r>
      <rPr>
        <sz val="10.5"/>
        <color rgb="FF333333"/>
        <rFont val="宋体"/>
        <charset val="134"/>
      </rPr>
      <t>青阳县</t>
    </r>
    <r>
      <rPr>
        <sz val="10.5"/>
        <color rgb="FF333333"/>
        <rFont val="Calibri"/>
        <charset val="134"/>
      </rPr>
      <t>2022</t>
    </r>
    <r>
      <rPr>
        <sz val="10.5"/>
        <color rgb="FF333333"/>
        <rFont val="宋体"/>
        <charset val="134"/>
      </rPr>
      <t>年老旧小区改造工程（龙山花园小区）</t>
    </r>
  </si>
  <si>
    <r>
      <rPr>
        <sz val="12"/>
        <color rgb="FF000000"/>
        <rFont val="宋体"/>
        <charset val="134"/>
      </rPr>
      <t>石台县全域旅游基础设施提升项目（一期）EPC总承包项目</t>
    </r>
  </si>
  <si>
    <r>
      <rPr>
        <sz val="10.5"/>
        <color rgb="FF333333"/>
        <rFont val="宋体"/>
        <charset val="134"/>
      </rPr>
      <t>杜村乡美丽集镇建设—集镇停车场工程</t>
    </r>
  </si>
  <si>
    <r>
      <rPr>
        <sz val="10.5"/>
        <color rgb="FF333333"/>
        <rFont val="宋体"/>
        <charset val="134"/>
      </rPr>
      <t>池州经济技术开发区三范村、流坡村改善人居环境建设项目附属工程</t>
    </r>
  </si>
  <si>
    <r>
      <rPr>
        <sz val="12"/>
        <color rgb="FF333333"/>
        <rFont val="宋体"/>
        <charset val="134"/>
      </rPr>
      <t>皖江江南新兴产业集中区汾河东路（凤鸣大道-黄山北路）建设工程</t>
    </r>
  </si>
  <si>
    <r>
      <rPr>
        <sz val="10.5"/>
        <color rgb="FF333333"/>
        <rFont val="宋体"/>
        <charset val="134"/>
      </rPr>
      <t>皖江江南新兴产业集中区乐山路（洛河路-皖江西路）路面提升工程</t>
    </r>
    <r>
      <rPr>
        <sz val="10.5"/>
        <color rgb="FF333333"/>
        <rFont val="宋体"/>
        <charset val="134"/>
      </rPr>
      <t> </t>
    </r>
  </si>
  <si>
    <r>
      <rPr>
        <sz val="12"/>
        <color rgb="FF333333"/>
        <rFont val="宋体"/>
        <charset val="134"/>
      </rPr>
      <t>皖江江南新兴产业集中区滨江大道（青通河-黄山北路段）改建工程污水管道建设工程</t>
    </r>
  </si>
  <si>
    <r>
      <rPr>
        <sz val="12"/>
        <color rgb="FF333333"/>
        <rFont val="宋体"/>
        <charset val="134"/>
      </rPr>
      <t>皖江江南新兴产业集中区淮河东路（凤鸣大道-黄山北路）建设工程</t>
    </r>
  </si>
  <si>
    <r>
      <rPr>
        <sz val="10.5"/>
        <color rgb="FF000000"/>
        <rFont val="宋体"/>
        <charset val="134"/>
      </rPr>
      <t>石台路（东湖路至九华山大道）道路改造工程</t>
    </r>
  </si>
  <si>
    <r>
      <rPr>
        <sz val="10.5"/>
        <color rgb="FF333333"/>
        <rFont val="宋体"/>
        <charset val="134"/>
      </rPr>
      <t>池州市贵池区里山矿业有限责任公司建筑石料用石灰岩矿关闭矿山地质环境恢复治理工程</t>
    </r>
  </si>
  <si>
    <r>
      <rPr>
        <sz val="10.5"/>
        <color rgb="FF333333"/>
        <rFont val="宋体"/>
        <charset val="134"/>
      </rPr>
      <t>池州市消防训练基地项目（一期）</t>
    </r>
  </si>
  <si>
    <r>
      <rPr>
        <sz val="10.5"/>
        <color rgb="FF333333"/>
        <rFont val="宋体"/>
        <charset val="134"/>
      </rPr>
      <t>池州市青通路（原长齐路）污水管道改造工程</t>
    </r>
  </si>
  <si>
    <r>
      <rPr>
        <sz val="10.5"/>
        <color rgb="FF333333"/>
        <rFont val="宋体"/>
        <charset val="134"/>
      </rPr>
      <t>皖江江南新兴产业集中区皖舟湖路网建设工程</t>
    </r>
  </si>
  <si>
    <r>
      <rPr>
        <sz val="10.5"/>
        <color rgb="FF333333"/>
        <rFont val="宋体"/>
        <charset val="134"/>
      </rPr>
      <t>青阳县城区供水扩容建设项目城区管网升级改造（开发区供水管网）工程</t>
    </r>
  </si>
  <si>
    <r>
      <rPr>
        <sz val="10.5"/>
        <color rgb="FF333333"/>
        <rFont val="宋体"/>
        <charset val="134"/>
      </rPr>
      <t>皖江江南新兴产业集中区滨江大道（秦岭路-九华河）建设工程</t>
    </r>
  </si>
  <si>
    <r>
      <rPr>
        <sz val="10.5"/>
        <color rgb="FF000000"/>
        <rFont val="黑体"/>
        <charset val="134"/>
      </rPr>
      <t>2022</t>
    </r>
    <r>
      <rPr>
        <sz val="10.5"/>
        <color rgb="FF000000"/>
        <rFont val="宋体"/>
        <charset val="134"/>
      </rPr>
      <t>年殷汇镇农村人居环境整治项目</t>
    </r>
    <r>
      <rPr>
        <sz val="10.5"/>
        <color rgb="FF000000"/>
        <rFont val="黑体"/>
        <charset val="134"/>
      </rPr>
      <t>-</t>
    </r>
    <r>
      <rPr>
        <sz val="10.5"/>
        <color rgb="FF000000"/>
        <rFont val="宋体"/>
        <charset val="134"/>
      </rPr>
      <t>高速连接线沿线环境整治提升工程</t>
    </r>
  </si>
  <si>
    <r>
      <rPr>
        <sz val="10.5"/>
        <color rgb="FF333333"/>
        <rFont val="宋体"/>
        <charset val="134"/>
      </rPr>
      <t>青阳县杨家畈桥改建工程</t>
    </r>
  </si>
  <si>
    <r>
      <rPr>
        <sz val="10.5"/>
        <color rgb="FF333333"/>
        <rFont val="宋体"/>
        <charset val="134"/>
      </rPr>
      <t>青阳经济开发区基础设施项目—双溪路改造工程</t>
    </r>
  </si>
  <si>
    <r>
      <rPr>
        <sz val="10.5"/>
        <color rgb="FF333333"/>
        <rFont val="宋体"/>
        <charset val="134"/>
      </rPr>
      <t>青阳县爱国主义教育基地暨烈士纪念设施修缮提升改造项目（第一标段）</t>
    </r>
  </si>
  <si>
    <r>
      <rPr>
        <sz val="10.5"/>
        <color rgb="FF333333"/>
        <rFont val="宋体"/>
        <charset val="134"/>
      </rPr>
      <t>青阳经济开发区基础设施项目-东河路改造工程</t>
    </r>
  </si>
  <si>
    <r>
      <rPr>
        <sz val="12"/>
        <color rgb="FF333333"/>
        <rFont val="宋体"/>
        <charset val="134"/>
      </rPr>
      <t>石台县大演乡永福村等村河道综合治理工程二期</t>
    </r>
  </si>
  <si>
    <r>
      <rPr>
        <sz val="10.5"/>
        <color rgb="FF333333"/>
        <rFont val="宋体"/>
        <charset val="134"/>
      </rPr>
      <t>九华山风景区2021年度人居环境提升工程-全乡旅游人居环境整治提升工程–老田片区环境整治工程</t>
    </r>
  </si>
  <si>
    <r>
      <rPr>
        <sz val="10.5"/>
        <color rgb="FF333333"/>
        <rFont val="宋体"/>
        <charset val="134"/>
      </rPr>
      <t>2022年老旧小区及周边市政基础设施改造工程二标段</t>
    </r>
  </si>
  <si>
    <r>
      <rPr>
        <sz val="10.5"/>
        <color rgb="FF000000"/>
        <rFont val="宋体"/>
        <charset val="134"/>
      </rPr>
      <t>2022年老旧小区及周边市政基础设施改造工程一标段</t>
    </r>
  </si>
  <si>
    <r>
      <rPr>
        <sz val="10.5"/>
        <color rgb="FF000000"/>
        <rFont val="宋体"/>
        <charset val="134"/>
      </rPr>
      <t>2022年老旧小区及周边市政基础设施改造工程三标段</t>
    </r>
  </si>
  <si>
    <r>
      <rPr>
        <sz val="11.25"/>
        <color rgb="FF333333"/>
        <rFont val="宋体"/>
        <charset val="134"/>
      </rPr>
      <t>池州一中校园文化宣传中心改造项目-文化宣传广场改造项目</t>
    </r>
  </si>
  <si>
    <r>
      <rPr>
        <sz val="14.25"/>
        <color rgb="FF333333"/>
        <rFont val="仿宋"/>
        <charset val="134"/>
      </rPr>
      <t>池州生态人文纪念园项目</t>
    </r>
  </si>
  <si>
    <r>
      <rPr>
        <sz val="10.5"/>
        <color rgb="FF333333"/>
        <rFont val="宋体"/>
        <charset val="134"/>
      </rPr>
      <t>江口查村给水管道安装工程（第二次）</t>
    </r>
  </si>
  <si>
    <r>
      <rPr>
        <sz val="10.5"/>
        <color rgb="FF333333"/>
        <rFont val="宋体"/>
        <charset val="134"/>
      </rPr>
      <t>池州市贵池区水系连通及水美乡村建设试点县项目水源涵养与水土保持措施工程</t>
    </r>
  </si>
  <si>
    <r>
      <rPr>
        <sz val="10.5"/>
        <color rgb="FF333333"/>
        <rFont val="宋体"/>
        <charset val="134"/>
      </rPr>
      <t>青阳县杨田路延伸段道排工程</t>
    </r>
  </si>
  <si>
    <r>
      <rPr>
        <sz val="10.5"/>
        <color rgb="FF000000"/>
        <rFont val="宋体"/>
        <charset val="134"/>
      </rPr>
      <t>坦埠路及周边环境整治工程（景观工程）</t>
    </r>
  </si>
  <si>
    <r>
      <rPr>
        <sz val="10.5"/>
        <color rgb="FF333333"/>
        <rFont val="宋体"/>
        <charset val="134"/>
      </rPr>
      <t>九华山交通转换中心（汽车客运站）功能提升项目地面停车场及附属用房工程</t>
    </r>
  </si>
  <si>
    <r>
      <rPr>
        <sz val="9.75"/>
        <color rgb="FF000000"/>
        <rFont val="宋体"/>
        <charset val="134"/>
      </rPr>
      <t>尧渡镇汪街行政村汪街中心村美丽乡村建设及污水处理项目</t>
    </r>
  </si>
  <si>
    <r>
      <rPr>
        <sz val="11.25"/>
        <color rgb="FF333333"/>
        <rFont val="宋体"/>
        <charset val="134"/>
      </rPr>
      <t>东至经开区产业大道（香苑大道-东二环）桥梁、箱涵专业分包</t>
    </r>
  </si>
  <si>
    <r>
      <rPr>
        <sz val="10.5"/>
        <color rgb="FF333333"/>
        <rFont val="宋体"/>
        <charset val="134"/>
      </rPr>
      <t>官港路桥及连接线工程</t>
    </r>
  </si>
  <si>
    <r>
      <rPr>
        <sz val="10.5"/>
        <color rgb="FF000000"/>
        <rFont val="宋体"/>
        <charset val="134"/>
      </rPr>
      <t>东至县东流镇太平山生态陵园项目(一期)</t>
    </r>
  </si>
  <si>
    <r>
      <rPr>
        <sz val="10.5"/>
        <color rgb="FF333333"/>
        <rFont val="宋体"/>
        <charset val="134"/>
      </rPr>
      <t>青阳县城区扩容建设项目城区管网升级改造（城区供水管网）工程</t>
    </r>
  </si>
  <si>
    <r>
      <rPr>
        <sz val="10.5"/>
        <color rgb="FF333333"/>
        <rFont val="宋体"/>
        <charset val="134"/>
      </rPr>
      <t>大渡口镇八都湖行政村济众中心村省级美丽乡村及生活污水处理建设项目</t>
    </r>
  </si>
  <si>
    <r>
      <rPr>
        <sz val="10.5"/>
        <color rgb="FF333333"/>
        <rFont val="宋体"/>
        <charset val="134"/>
      </rPr>
      <t>东至县大渡口镇2022年度老旧小区改造项目</t>
    </r>
  </si>
  <si>
    <r>
      <rPr>
        <sz val="12"/>
        <color rgb="FF333333"/>
        <rFont val="宋体"/>
        <charset val="134"/>
      </rPr>
      <t>青山乡双港行政村双港中心村美丽乡村及生活污水处理建设项目</t>
    </r>
  </si>
  <si>
    <r>
      <rPr>
        <sz val="10.5"/>
        <color rgb="FF333333"/>
        <rFont val="宋体"/>
        <charset val="134"/>
      </rPr>
      <t>东至县污水处理厂二期扩建工程（土建）</t>
    </r>
  </si>
  <si>
    <r>
      <rPr>
        <sz val="10.5"/>
        <color rgb="FF333333"/>
        <rFont val="宋体"/>
        <charset val="134"/>
      </rPr>
      <t>青阳县五溪新区人居环境提升项目（五溪风情街安置区周边拟建道路）工程</t>
    </r>
  </si>
  <si>
    <r>
      <rPr>
        <sz val="10.5"/>
        <color rgb="FF000000"/>
        <rFont val="宋体"/>
        <charset val="134"/>
      </rPr>
      <t>2022年度省级美丽乡村中心村污水管网及处理终端建设项目</t>
    </r>
  </si>
  <si>
    <r>
      <rPr>
        <sz val="10.5"/>
        <color rgb="FF333333"/>
        <rFont val="宋体"/>
        <charset val="134"/>
      </rPr>
      <t>2023年青阳县老旧小区改造工程（青年路住宅楼区域）</t>
    </r>
  </si>
  <si>
    <r>
      <rPr>
        <sz val="10.5"/>
        <color rgb="FF333333"/>
        <rFont val="宋体"/>
        <charset val="134"/>
      </rPr>
      <t>棠溪路排水管网改造等工程</t>
    </r>
    <r>
      <rPr>
        <sz val="10.5"/>
        <color rgb="FF333333"/>
        <rFont val="宋体"/>
        <charset val="134"/>
      </rPr>
      <t>-路面“白加黑”</t>
    </r>
    <r>
      <rPr>
        <sz val="10.5"/>
        <color rgb="FF333333"/>
        <rFont val="宋体"/>
        <charset val="134"/>
      </rPr>
      <t>项目</t>
    </r>
  </si>
  <si>
    <r>
      <rPr>
        <sz val="10.5"/>
        <color rgb="FF333333"/>
        <rFont val="宋体"/>
        <charset val="134"/>
      </rPr>
      <t>迎宾花园片区道路排水管网改造等一期工程</t>
    </r>
    <r>
      <rPr>
        <sz val="10.5"/>
        <color rgb="FF333333"/>
        <rFont val="宋体"/>
        <charset val="134"/>
      </rPr>
      <t>-路面“白+黑”</t>
    </r>
    <r>
      <rPr>
        <sz val="10.5"/>
        <color rgb="FF333333"/>
        <rFont val="宋体"/>
        <charset val="134"/>
      </rPr>
      <t>项目</t>
    </r>
  </si>
  <si>
    <r>
      <rPr>
        <sz val="10.5"/>
        <color rgb="FF333333"/>
        <rFont val="宋体"/>
        <charset val="134"/>
      </rPr>
      <t>青阳县2023年老旧小区老青中宿舍区域改造项目</t>
    </r>
  </si>
  <si>
    <r>
      <rPr>
        <sz val="10.5"/>
        <color rgb="FF333333"/>
        <rFont val="宋体"/>
        <charset val="134"/>
      </rPr>
      <t>青阳县2023年老旧小区曹家园老中行宿舍区域改造项目</t>
    </r>
  </si>
  <si>
    <r>
      <rPr>
        <sz val="10.5"/>
        <color rgb="FF333333"/>
        <rFont val="宋体"/>
        <charset val="134"/>
      </rPr>
      <t>青通路、致远路、东至路、碧桂园路提升改造工程</t>
    </r>
  </si>
  <si>
    <r>
      <rPr>
        <sz val="10.5"/>
        <color rgb="FF333333"/>
        <rFont val="宋体"/>
        <charset val="134"/>
      </rPr>
      <t>青阳县外滩综合整治项目（北门停车场至南门桥）</t>
    </r>
  </si>
  <si>
    <r>
      <rPr>
        <sz val="10.5"/>
        <color rgb="FF333333"/>
        <rFont val="宋体"/>
        <charset val="134"/>
      </rPr>
      <t>青阳县2023年老旧小区西峰山庄宿舍区域改造项目</t>
    </r>
  </si>
  <si>
    <r>
      <rPr>
        <sz val="10.5"/>
        <color rgb="FF333333"/>
        <rFont val="宋体"/>
        <charset val="134"/>
      </rPr>
      <t>青阳县2023年老旧小区宝灵观小区二期改造项目</t>
    </r>
  </si>
  <si>
    <r>
      <rPr>
        <sz val="10.5"/>
        <color rgb="FF333333"/>
        <rFont val="宋体"/>
        <charset val="134"/>
      </rPr>
      <t>石台县全民健身补短板设施建设工程—马鞍山公共体育场</t>
    </r>
  </si>
  <si>
    <r>
      <rPr>
        <sz val="10.5"/>
        <color rgb="FF333333"/>
        <rFont val="宋体"/>
        <charset val="134"/>
      </rPr>
      <t>丁桥集镇园区南侧地块土方平整工程</t>
    </r>
  </si>
  <si>
    <r>
      <rPr>
        <sz val="10.5"/>
        <color rgb="FF333333"/>
        <rFont val="宋体"/>
        <charset val="134"/>
      </rPr>
      <t>蓉溪路(九华电影院至庙前路段)改造工程</t>
    </r>
  </si>
  <si>
    <r>
      <rPr>
        <sz val="10.5"/>
        <color rgb="FF333333"/>
        <rFont val="宋体"/>
        <charset val="134"/>
      </rPr>
      <t>池黄高铁九华山站站前广场及配套基础设施建设工程（二次）</t>
    </r>
  </si>
  <si>
    <r>
      <rPr>
        <sz val="10.5"/>
        <color rgb="FF333333"/>
        <rFont val="宋体"/>
        <charset val="134"/>
      </rPr>
      <t>新河镇常洲村（童埠）搬迁安置区室外附属及宅基地基础工程</t>
    </r>
  </si>
  <si>
    <r>
      <rPr>
        <sz val="10.5"/>
        <color rgb="FF333333"/>
        <rFont val="宋体"/>
        <charset val="134"/>
      </rPr>
      <t>青阳县2023年老旧小区茧巷宿舍区域改造项目</t>
    </r>
  </si>
  <si>
    <r>
      <rPr>
        <sz val="10.5"/>
        <color rgb="FF333333"/>
        <rFont val="宋体"/>
        <charset val="134"/>
      </rPr>
      <t>青阳县临城北路(北外环至九华西路段)改造工程</t>
    </r>
  </si>
  <si>
    <r>
      <rPr>
        <sz val="10.5"/>
        <color rgb="FF333333"/>
        <rFont val="宋体"/>
        <charset val="134"/>
      </rPr>
      <t>殷汇镇汇安西路南侧慢行系统建设工程</t>
    </r>
  </si>
  <si>
    <r>
      <rPr>
        <sz val="12"/>
        <color rgb="FF333333"/>
        <rFont val="宋体"/>
        <charset val="134"/>
      </rPr>
      <t>东至经开区东华水务及红太阳10KV线路工程</t>
    </r>
  </si>
  <si>
    <r>
      <rPr>
        <sz val="10.5"/>
        <color rgb="FF333333"/>
        <rFont val="宋体"/>
        <charset val="134"/>
      </rPr>
      <t>池州大道渠良好水体保护与修复工程（二标段）</t>
    </r>
  </si>
  <si>
    <t>水利水电工程施工</t>
  </si>
  <si>
    <r>
      <rPr>
        <sz val="10.5"/>
        <color rgb="FF333333"/>
        <rFont val="宋体"/>
        <charset val="134"/>
      </rPr>
      <t>2021年度主城区干道（沿街）建筑外墙脱落维修工程（I标段）</t>
    </r>
  </si>
  <si>
    <r>
      <rPr>
        <sz val="11.25"/>
        <color rgb="FF333333"/>
        <rFont val="宋体"/>
        <charset val="134"/>
      </rPr>
      <t>东至县舜城新区省示范高中项目外墙保温专业分包工程一标段</t>
    </r>
  </si>
  <si>
    <r>
      <rPr>
        <sz val="11.25"/>
        <color rgb="FF333333"/>
        <rFont val="宋体"/>
        <charset val="134"/>
      </rPr>
      <t>东至县舜城新区省示范高中项目外墙保温专业分包工程二标段</t>
    </r>
  </si>
  <si>
    <r>
      <rPr>
        <sz val="10.5"/>
        <color rgb="FF333333"/>
        <rFont val="宋体"/>
        <charset val="134"/>
      </rPr>
      <t>安徽百强科技有限公司一期项目一标段</t>
    </r>
  </si>
  <si>
    <t>房屋建筑工程</t>
  </si>
  <si>
    <r>
      <rPr>
        <sz val="10.5"/>
        <color rgb="FF333333"/>
        <rFont val="宋体"/>
        <charset val="134"/>
      </rPr>
      <t>利用德国促进贷款池州-杏花村生物多样性保护和发展项目监理</t>
    </r>
  </si>
  <si>
    <t>市政公用工程监理</t>
  </si>
  <si>
    <r>
      <rPr>
        <sz val="10.5"/>
        <color rgb="FF333333"/>
        <rFont val="宋体"/>
        <charset val="134"/>
      </rPr>
      <t>安徽百强科技有限公司一期项目二标段</t>
    </r>
  </si>
  <si>
    <r>
      <rPr>
        <sz val="10.5"/>
        <color rgb="FF333333"/>
        <rFont val="微软雅黑"/>
        <charset val="134"/>
      </rPr>
      <t>池州市东至县龙泉镇中心学校本部小学教学楼及教辅用房等校安工程项目(教学楼及教辅用房)</t>
    </r>
  </si>
  <si>
    <r>
      <rPr>
        <sz val="12"/>
        <color rgb="FF333333"/>
        <rFont val="宋体"/>
        <charset val="134"/>
      </rPr>
      <t>东至县重点山洪沟大源河防洪治理工程</t>
    </r>
  </si>
  <si>
    <r>
      <rPr>
        <sz val="10.5"/>
        <color rgb="FF333333"/>
        <rFont val="宋体"/>
        <charset val="134"/>
      </rPr>
      <t>九华山环境提升工程（柯村新区环道人行道提升工程）</t>
    </r>
  </si>
  <si>
    <t>市政公用工程施工</t>
  </si>
  <si>
    <r>
      <rPr>
        <sz val="10.5"/>
        <color rgb="FF333333"/>
        <rFont val="宋体"/>
        <charset val="134"/>
      </rPr>
      <t>科居新材料科技有限公司</t>
    </r>
    <r>
      <rPr>
        <sz val="10.5"/>
        <color rgb="FF333333"/>
        <rFont val="宋体"/>
        <charset val="134"/>
      </rPr>
      <t>10kV线路工程（第二次）</t>
    </r>
  </si>
  <si>
    <r>
      <rPr>
        <sz val="10.5"/>
        <color rgb="FF333333"/>
        <rFont val="宋体"/>
        <charset val="134"/>
      </rPr>
      <t>柯村南环至污水处理厂污水管网修复工程</t>
    </r>
  </si>
  <si>
    <r>
      <rPr>
        <sz val="10.5"/>
        <color rgb="FF333333"/>
        <rFont val="宋体"/>
        <charset val="134"/>
      </rPr>
      <t>池州高新区</t>
    </r>
    <r>
      <rPr>
        <sz val="10.5"/>
        <color rgb="FF333333"/>
        <rFont val="Times New Roman"/>
        <charset val="134"/>
      </rPr>
      <t xml:space="preserve">5G </t>
    </r>
    <r>
      <rPr>
        <sz val="10.5"/>
        <color rgb="FF333333"/>
        <rFont val="宋体"/>
        <charset val="134"/>
      </rPr>
      <t>园区建设项目</t>
    </r>
    <r>
      <rPr>
        <sz val="10.5"/>
        <color rgb="FF333333"/>
        <rFont val="Times New Roman"/>
        <charset val="134"/>
      </rPr>
      <t>-</t>
    </r>
    <r>
      <rPr>
        <sz val="10.5"/>
        <color rgb="FF333333"/>
        <rFont val="宋体"/>
        <charset val="134"/>
      </rPr>
      <t>西区沿江路周边雨水系统改造一期工程</t>
    </r>
  </si>
  <si>
    <r>
      <rPr>
        <sz val="10.5"/>
        <color rgb="FF333333"/>
        <rFont val="微软雅黑"/>
        <charset val="134"/>
      </rPr>
      <t>青阳县2021年老旧小区（龙子口西小区）改造项目</t>
    </r>
  </si>
  <si>
    <r>
      <rPr>
        <sz val="12"/>
        <color rgb="FF333333"/>
        <rFont val="宋体"/>
        <charset val="134"/>
      </rPr>
      <t>G530查桥至牛矶一级公路建设10kV高低压杆线迁移改造工程</t>
    </r>
  </si>
  <si>
    <r>
      <rPr>
        <sz val="10.5"/>
        <color rgb="FF333333"/>
        <rFont val="宋体"/>
        <charset val="134"/>
      </rPr>
      <t>梅龙初级中学校舍改造及设备采购项目工程</t>
    </r>
  </si>
  <si>
    <r>
      <rPr>
        <sz val="10.5"/>
        <color rgb="FF333333"/>
        <rFont val="宋体"/>
        <charset val="134"/>
      </rPr>
      <t>丁桥北外环路（牛山至洛家潭段）路基工程</t>
    </r>
  </si>
  <si>
    <r>
      <rPr>
        <sz val="12"/>
        <color rgb="FF333333"/>
        <rFont val="宋体"/>
        <charset val="134"/>
      </rPr>
      <t>池州高新区</t>
    </r>
    <r>
      <rPr>
        <sz val="12"/>
        <color rgb="FF333333"/>
        <rFont val="宋体"/>
        <charset val="134"/>
      </rPr>
      <t>5G</t>
    </r>
    <r>
      <rPr>
        <sz val="12"/>
        <color rgb="FF333333"/>
        <rFont val="宋体"/>
        <charset val="134"/>
      </rPr>
      <t>园区建设项目——前江大道改造工程</t>
    </r>
  </si>
  <si>
    <r>
      <rPr>
        <sz val="12"/>
        <color rgb="FF333333"/>
        <rFont val="宋体"/>
        <charset val="134"/>
      </rPr>
      <t>五溪山色文化旅游度假区扩建项目文宗古村土建工程</t>
    </r>
    <r>
      <rPr>
        <sz val="12"/>
        <color rgb="FF333333"/>
        <rFont val="Times New Roman"/>
        <charset val="134"/>
      </rPr>
      <t>Ⅰ</t>
    </r>
    <r>
      <rPr>
        <sz val="12"/>
        <color rgb="FF333333"/>
        <rFont val="宋体"/>
        <charset val="134"/>
      </rPr>
      <t>标段</t>
    </r>
  </si>
  <si>
    <r>
      <rPr>
        <sz val="10.5"/>
        <color rgb="FF333333"/>
        <rFont val="宋体"/>
        <charset val="134"/>
      </rPr>
      <t>池州经济开发区建设工程质量安全第三方巡查及相关技术服务项目</t>
    </r>
  </si>
  <si>
    <r>
      <rPr>
        <sz val="12"/>
        <color rgb="FF333333"/>
        <rFont val="宋体"/>
        <charset val="134"/>
      </rPr>
      <t>五溪山色文化旅游度假区扩建项目文宗古村土建工程</t>
    </r>
    <r>
      <rPr>
        <sz val="12"/>
        <color rgb="FF333333"/>
        <rFont val="Times New Roman"/>
        <charset val="134"/>
      </rPr>
      <t>Ⅱ</t>
    </r>
    <r>
      <rPr>
        <sz val="12"/>
        <color rgb="FF333333"/>
        <rFont val="宋体"/>
        <charset val="134"/>
      </rPr>
      <t>标段</t>
    </r>
  </si>
  <si>
    <r>
      <rPr>
        <sz val="10.5"/>
        <color rgb="FF333333"/>
        <rFont val="宋体"/>
        <charset val="134"/>
      </rPr>
      <t>安徽交通技术学校校舍维修改造工程</t>
    </r>
  </si>
  <si>
    <r>
      <rPr>
        <sz val="10.5"/>
        <color rgb="FF333333"/>
        <rFont val="宋体"/>
        <charset val="134"/>
      </rPr>
      <t>通港路以西七条路排水管网改造等工程Ⅰ标（通港路北段）</t>
    </r>
  </si>
  <si>
    <r>
      <rPr>
        <sz val="10.5"/>
        <color rgb="FF333333"/>
        <rFont val="宋体"/>
        <charset val="134"/>
      </rPr>
      <t>东至县</t>
    </r>
    <r>
      <rPr>
        <sz val="10.5"/>
        <color rgb="FF333333"/>
        <rFont val="微软雅黑"/>
        <charset val="134"/>
      </rPr>
      <t>“</t>
    </r>
    <r>
      <rPr>
        <sz val="10.5"/>
        <color rgb="FF333333"/>
        <rFont val="宋体"/>
        <charset val="134"/>
      </rPr>
      <t>三线三边</t>
    </r>
    <r>
      <rPr>
        <sz val="10.5"/>
        <color rgb="FF333333"/>
        <rFont val="Times New Roman"/>
        <charset val="134"/>
      </rPr>
      <t>”</t>
    </r>
    <r>
      <rPr>
        <sz val="10.5"/>
        <color rgb="FF333333"/>
        <rFont val="宋体"/>
        <charset val="134"/>
      </rPr>
      <t>可视范围内破损山体修复（张溪镇）工程</t>
    </r>
  </si>
  <si>
    <r>
      <rPr>
        <sz val="10.5"/>
        <color rgb="FF333333"/>
        <rFont val="宋体"/>
        <charset val="134"/>
      </rPr>
      <t>池州市2021年普通国省干线公路灾害防治工程（G237济宁线K800+000-K820+200段）</t>
    </r>
  </si>
  <si>
    <r>
      <rPr>
        <sz val="10.5"/>
        <color rgb="FF000000"/>
        <rFont val="宋体"/>
        <charset val="134"/>
      </rPr>
      <t>通港路以西七条路排水管网改造等工程V标（殷汇路南段、玉镜路）</t>
    </r>
  </si>
  <si>
    <r>
      <rPr>
        <sz val="10.5"/>
        <color rgb="FF333333"/>
        <rFont val="宋体"/>
        <charset val="134"/>
      </rPr>
      <t>池州高新区科技孵化器科技创业服务中心改造工程</t>
    </r>
  </si>
  <si>
    <r>
      <rPr>
        <sz val="10.5"/>
        <color rgb="FF000000"/>
        <rFont val="宋体"/>
        <charset val="134"/>
      </rPr>
      <t>池州市2021年普通国省干线公路东至县G530马田桥、S234葛公桥危桥改造工程</t>
    </r>
  </si>
  <si>
    <r>
      <rPr>
        <sz val="10.5"/>
        <color rgb="FF333333"/>
        <rFont val="宋体"/>
        <charset val="134"/>
      </rPr>
      <t>池州学院公共教学楼附属工程项目</t>
    </r>
  </si>
  <si>
    <r>
      <rPr>
        <sz val="10.5"/>
        <color rgb="FF333333"/>
        <rFont val="宋体"/>
        <charset val="134"/>
      </rPr>
      <t>通港路以西七条路排水管网改造等工程</t>
    </r>
    <r>
      <rPr>
        <sz val="10.5"/>
        <color rgb="FF333333"/>
        <rFont val="宋体"/>
        <charset val="134"/>
      </rPr>
      <t>IV标（梅林路、梅街路）</t>
    </r>
  </si>
  <si>
    <r>
      <rPr>
        <sz val="10.5"/>
        <color rgb="FF333333"/>
        <rFont val="宋体"/>
        <charset val="134"/>
      </rPr>
      <t>青阳县2021年老旧小区（蓉东大市场住宅楼）改造项目</t>
    </r>
  </si>
  <si>
    <r>
      <rPr>
        <sz val="10.5"/>
        <color rgb="FF333333"/>
        <rFont val="宋体"/>
        <charset val="134"/>
      </rPr>
      <t>青阳县2021年老旧小区（水务局宿舍、供电局宿舍）改造项目</t>
    </r>
  </si>
  <si>
    <r>
      <rPr>
        <sz val="10.5"/>
        <color rgb="FF333333"/>
        <rFont val="宋体"/>
        <charset val="134"/>
      </rPr>
      <t>贵池区秋浦小学综合楼及多功能厅工程</t>
    </r>
  </si>
  <si>
    <r>
      <rPr>
        <sz val="10.5"/>
        <color rgb="FF333333"/>
        <rFont val="宋体"/>
        <charset val="134"/>
      </rPr>
      <t>济阳曹氏宗祠修缮工程</t>
    </r>
  </si>
  <si>
    <t>古建筑工程</t>
  </si>
  <si>
    <r>
      <rPr>
        <b/>
        <sz val="10.5"/>
        <color rgb="FF333333"/>
        <rFont val="宋体"/>
        <charset val="134"/>
      </rPr>
      <t>石台县2021年第一批以工代赈示范工程</t>
    </r>
  </si>
  <si>
    <r>
      <rPr>
        <sz val="10.5"/>
        <color rgb="FF333333"/>
        <rFont val="宋体"/>
        <charset val="134"/>
      </rPr>
      <t>青阳县富阳河水生态修复沿河小区（南华苑等三个小区）雨污水改造工程</t>
    </r>
  </si>
  <si>
    <r>
      <rPr>
        <sz val="12"/>
        <color rgb="FF333333"/>
        <rFont val="宋体"/>
        <charset val="134"/>
      </rPr>
      <t>东至县昌江河生态清洁小流域建设工程</t>
    </r>
  </si>
  <si>
    <r>
      <rPr>
        <sz val="10.5"/>
        <color rgb="FF333333"/>
        <rFont val="宋体"/>
        <charset val="134"/>
      </rPr>
      <t>旅游蹬道整治维修工程（拜经台-天台旅游蹬道整治工程）项目</t>
    </r>
  </si>
  <si>
    <r>
      <rPr>
        <sz val="12"/>
        <color rgb="FF333333"/>
        <rFont val="宋体"/>
        <charset val="134"/>
      </rPr>
      <t>东至县2021年老旧小区改造项目-县医院片区</t>
    </r>
  </si>
  <si>
    <r>
      <rPr>
        <sz val="10.5"/>
        <color rgb="FF333333"/>
        <rFont val="宋体"/>
        <charset val="134"/>
      </rPr>
      <t>池州市2021年普通国省干线公路灾害防治工程（G206威汕线K1390+000～K1420+000段）（第二次）</t>
    </r>
  </si>
  <si>
    <r>
      <rPr>
        <b/>
        <sz val="10.5"/>
        <color rgb="FF333333"/>
        <rFont val="宋体"/>
        <charset val="134"/>
      </rPr>
      <t>石台县小河镇石岭河等生态环境综合治理项目</t>
    </r>
  </si>
  <si>
    <r>
      <rPr>
        <sz val="10.5"/>
        <color rgb="FF333333"/>
        <rFont val="宋体"/>
        <charset val="134"/>
      </rPr>
      <t>池州市贵池区八一水库、万成灌区续建配套与节水改造工程二标段（万成灌区）</t>
    </r>
  </si>
  <si>
    <t>水利水电工程</t>
  </si>
  <si>
    <r>
      <rPr>
        <sz val="10.5"/>
        <color rgb="FF333333"/>
        <rFont val="宋体"/>
        <charset val="134"/>
      </rPr>
      <t>池州市贵池区八一水库、万成灌区续建配套与节水改造工程一标段（八一水库灌区）</t>
    </r>
  </si>
  <si>
    <r>
      <rPr>
        <sz val="10.5"/>
        <color rgb="FF333333"/>
        <rFont val="微软雅黑"/>
        <charset val="134"/>
      </rPr>
      <t>东至县2021年老旧小区改造项目-齿轮厂宿舍东区、齿轮厂宿舍西区</t>
    </r>
  </si>
  <si>
    <r>
      <rPr>
        <sz val="10.5"/>
        <color rgb="FF333333"/>
        <rFont val="宋体"/>
        <charset val="134"/>
      </rPr>
      <t>池州市救灾物资储备库改造工程</t>
    </r>
  </si>
  <si>
    <r>
      <rPr>
        <sz val="10.5"/>
        <color rgb="FF333333"/>
        <rFont val="宋体"/>
        <charset val="134"/>
      </rPr>
      <t>2021年石台县小河镇高标准农田建设项目</t>
    </r>
  </si>
  <si>
    <r>
      <rPr>
        <sz val="10.5"/>
        <color rgb="FF333333"/>
        <rFont val="宋体"/>
        <charset val="134"/>
      </rPr>
      <t>青阳县实验小学体育场、停车场等设施新改建工程</t>
    </r>
  </si>
  <si>
    <r>
      <rPr>
        <b/>
        <sz val="12"/>
        <color rgb="FF333333"/>
        <rFont val="宋体"/>
        <charset val="134"/>
      </rPr>
      <t>县域“三线三边”可视范围内宕口和破损山体治理工程</t>
    </r>
    <r>
      <rPr>
        <b/>
        <sz val="12"/>
        <color rgb="FF333333"/>
        <rFont val="Times New Roman"/>
        <charset val="134"/>
      </rPr>
      <t>--</t>
    </r>
    <r>
      <rPr>
        <b/>
        <sz val="12"/>
        <color rgb="FF333333"/>
        <rFont val="宋体"/>
        <charset val="134"/>
      </rPr>
      <t>尧渡镇刘平石子厂矿山修复区危岩清理修复等工程</t>
    </r>
  </si>
  <si>
    <r>
      <rPr>
        <sz val="12"/>
        <color rgb="FF333333"/>
        <rFont val="宋体"/>
        <charset val="134"/>
      </rPr>
      <t>东至县2021年老旧小区改造项目-田园新村、田园新村房改房、交警大队宿舍</t>
    </r>
  </si>
  <si>
    <r>
      <rPr>
        <sz val="10.5"/>
        <color rgb="FF333333"/>
        <rFont val="宋体"/>
        <charset val="134"/>
      </rPr>
      <t>墩上街道主街道环境提升工程</t>
    </r>
  </si>
  <si>
    <r>
      <rPr>
        <sz val="10.5"/>
        <color rgb="FF333333"/>
        <rFont val="宋体"/>
        <charset val="134"/>
      </rPr>
      <t>大演乡生态富硒农产品加工园区建设项目（二期）</t>
    </r>
  </si>
  <si>
    <r>
      <rPr>
        <sz val="10.5"/>
        <color rgb="FF333333"/>
        <rFont val="宋体"/>
        <charset val="134"/>
      </rPr>
      <t>池黄高铁江村安置区配套设施工程</t>
    </r>
  </si>
  <si>
    <r>
      <rPr>
        <sz val="10.5"/>
        <color rgb="FF333333"/>
        <rFont val="宋体"/>
        <charset val="134"/>
      </rPr>
      <t>2021年农村公路养护项目-仙寓镇利源路改造工程</t>
    </r>
  </si>
  <si>
    <r>
      <rPr>
        <sz val="11.25"/>
        <color rgb="FF333333"/>
        <rFont val="宋体"/>
        <charset val="134"/>
      </rPr>
      <t>石台县</t>
    </r>
    <r>
      <rPr>
        <sz val="11.25"/>
        <color rgb="FF333333"/>
        <rFont val="宋体"/>
        <charset val="134"/>
      </rPr>
      <t>2021年度爱国路县乡公路升级改造工程</t>
    </r>
  </si>
  <si>
    <r>
      <rPr>
        <sz val="12"/>
        <color rgb="FF333333"/>
        <rFont val="宋体"/>
        <charset val="134"/>
      </rPr>
      <t>2021年东至县高标准农田建设项目14标段（泥溪镇泥溪村、隐东村）</t>
    </r>
  </si>
  <si>
    <r>
      <rPr>
        <sz val="12"/>
        <color rgb="FF333333"/>
        <rFont val="宋体"/>
        <charset val="134"/>
      </rPr>
      <t>2021年东至县高标准农田建设项目13标段（官港镇黄柏村）</t>
    </r>
  </si>
  <si>
    <r>
      <rPr>
        <sz val="12"/>
        <color rgb="FF333333"/>
        <rFont val="宋体"/>
        <charset val="134"/>
      </rPr>
      <t>2021年东至县高标准农田建设项目10标段（尧渡镇西村村）</t>
    </r>
  </si>
  <si>
    <r>
      <rPr>
        <sz val="12"/>
        <color rgb="FF333333"/>
        <rFont val="宋体"/>
        <charset val="134"/>
      </rPr>
      <t>2021年东至县高标准农田建设项目7标段（胜利镇方村村）</t>
    </r>
  </si>
  <si>
    <r>
      <rPr>
        <sz val="12"/>
        <color rgb="FF333333"/>
        <rFont val="宋体"/>
        <charset val="134"/>
      </rPr>
      <t>2021年东至县高标准农田建设项目12标段（官港镇陈镇村）</t>
    </r>
  </si>
  <si>
    <r>
      <rPr>
        <sz val="12"/>
        <color rgb="FF333333"/>
        <rFont val="宋体"/>
        <charset val="134"/>
      </rPr>
      <t>2021年东至县高标准农田建设项目11标段（尧渡镇良田村、枫树村、乃滩村）</t>
    </r>
  </si>
  <si>
    <r>
      <rPr>
        <sz val="12"/>
        <color rgb="FF333333"/>
        <rFont val="宋体"/>
        <charset val="134"/>
      </rPr>
      <t>2021年东至县高标准农田建设项目8标段（香隅镇花山村）</t>
    </r>
  </si>
  <si>
    <r>
      <rPr>
        <sz val="12"/>
        <color rgb="FF333333"/>
        <rFont val="宋体"/>
        <charset val="134"/>
      </rPr>
      <t>2021年东至县高标准农田建设项目15标段（泥溪镇双龙村、元潘村、官村村）</t>
    </r>
  </si>
  <si>
    <r>
      <rPr>
        <sz val="12"/>
        <color rgb="FF333333"/>
        <rFont val="宋体"/>
        <charset val="134"/>
      </rPr>
      <t>2021年东至县高标准农田建设项目3标段（张溪镇阳山村）</t>
    </r>
  </si>
  <si>
    <r>
      <rPr>
        <sz val="12"/>
        <color rgb="FF333333"/>
        <rFont val="宋体"/>
        <charset val="134"/>
      </rPr>
      <t>2021年东至县高标准农田建设项目2标段（张溪镇杨畈村）</t>
    </r>
  </si>
  <si>
    <r>
      <rPr>
        <sz val="12"/>
        <color rgb="FF333333"/>
        <rFont val="宋体"/>
        <charset val="134"/>
      </rPr>
      <t>2021年东至县高标准农田建设项目4标段（张溪镇葛仙铺村）</t>
    </r>
  </si>
  <si>
    <r>
      <rPr>
        <sz val="12"/>
        <color rgb="FF333333"/>
        <rFont val="宋体"/>
        <charset val="134"/>
      </rPr>
      <t>2021年东至县高标准农田建设项目17标段（龙泉镇铁炉村）</t>
    </r>
  </si>
  <si>
    <r>
      <rPr>
        <b/>
        <sz val="12"/>
        <color rgb="FF333333"/>
        <rFont val="宋体"/>
        <charset val="134"/>
      </rPr>
      <t>2021年东至县高标准农田建设项目1标段（张溪镇仙亭村）</t>
    </r>
  </si>
  <si>
    <r>
      <rPr>
        <sz val="12"/>
        <color rgb="FF333333"/>
        <rFont val="宋体"/>
        <charset val="134"/>
      </rPr>
      <t>2021年东至县高标准农田建设项目16标段（青山乡青山村）</t>
    </r>
  </si>
  <si>
    <r>
      <rPr>
        <sz val="12"/>
        <color rgb="FF333333"/>
        <rFont val="宋体"/>
        <charset val="134"/>
      </rPr>
      <t>2021年东至县高标准农田建设项目18标段（龙泉镇铁炉村、古楼村、家庭农场）</t>
    </r>
  </si>
  <si>
    <r>
      <rPr>
        <sz val="12"/>
        <color rgb="FF333333"/>
        <rFont val="宋体"/>
        <charset val="134"/>
      </rPr>
      <t>2021年东至县高标准农田建设项目19标段（龙泉镇松田村）</t>
    </r>
  </si>
  <si>
    <r>
      <rPr>
        <sz val="12"/>
        <color rgb="FF333333"/>
        <rFont val="宋体"/>
        <charset val="134"/>
      </rPr>
      <t>2021年东至县高标准农田建设项目5标段（胜利镇吉阳村）</t>
    </r>
  </si>
  <si>
    <r>
      <rPr>
        <sz val="12"/>
        <color rgb="FF333333"/>
        <rFont val="宋体"/>
        <charset val="134"/>
      </rPr>
      <t>2021年东至县高标准农田建设项目6标段（胜利镇桃源村）</t>
    </r>
  </si>
  <si>
    <r>
      <rPr>
        <sz val="10.5"/>
        <color rgb="FF333333"/>
        <rFont val="宋体"/>
        <charset val="134"/>
      </rPr>
      <t>石台县大演乡永福村等河道综合治理工程</t>
    </r>
  </si>
  <si>
    <r>
      <rPr>
        <sz val="10.5"/>
        <color rgb="FF000000"/>
        <rFont val="宋体"/>
        <charset val="134"/>
      </rPr>
      <t>九华山风景区2021年度人居环境提升工程-景观提升工程</t>
    </r>
  </si>
  <si>
    <r>
      <rPr>
        <sz val="10.5"/>
        <color rgb="FF333333"/>
        <rFont val="宋体"/>
        <charset val="134"/>
      </rPr>
      <t>东至县主城区道路白改黑工程、百悦片区防涝工程</t>
    </r>
  </si>
  <si>
    <r>
      <rPr>
        <sz val="10.5"/>
        <color rgb="FF333333"/>
        <rFont val="宋体"/>
        <charset val="134"/>
      </rPr>
      <t>池州市石台县城南幼儿园项目</t>
    </r>
  </si>
  <si>
    <r>
      <rPr>
        <sz val="10.5"/>
        <color rgb="FF333333"/>
        <rFont val="宋体"/>
        <charset val="134"/>
      </rPr>
      <t>青阳县青通河生态环境提升及配套设施建设项目（芙蓉大道-朱备镇段沿线环境整治及休闲绿道工程）</t>
    </r>
  </si>
  <si>
    <r>
      <rPr>
        <sz val="10.5"/>
        <color rgb="FF333333"/>
        <rFont val="微软雅黑"/>
        <charset val="134"/>
      </rPr>
      <t>东至县城南出入口环境整治工程（一期）</t>
    </r>
  </si>
  <si>
    <r>
      <rPr>
        <sz val="10.5"/>
        <color rgb="FF333333"/>
        <rFont val="宋体"/>
        <charset val="134"/>
      </rPr>
      <t>东至县人防国防应急地面指挥中心附属配套工程</t>
    </r>
  </si>
  <si>
    <r>
      <rPr>
        <sz val="10.5"/>
        <color rgb="FF333333"/>
        <rFont val="宋体"/>
        <charset val="134"/>
      </rPr>
      <t>池州市东至县木塔乡中心学校本部小学教学楼及教辅用房等校安工程项目(教学楼、综合楼及教辅用房)</t>
    </r>
  </si>
  <si>
    <r>
      <rPr>
        <sz val="10.5"/>
        <color rgb="FF333333"/>
        <rFont val="宋体"/>
        <charset val="134"/>
      </rPr>
      <t>2021</t>
    </r>
    <r>
      <rPr>
        <sz val="10.5"/>
        <color rgb="FF333333"/>
        <rFont val="宋体"/>
        <charset val="134"/>
      </rPr>
      <t>年青阳县城区交通设施维修建设工程</t>
    </r>
  </si>
  <si>
    <t>公路交通工程</t>
  </si>
  <si>
    <r>
      <rPr>
        <sz val="10.5"/>
        <color rgb="FF000000"/>
        <rFont val="宋体"/>
        <charset val="134"/>
      </rPr>
      <t>池州市贵池区源溪河小流域水土保持综合治理工程</t>
    </r>
  </si>
  <si>
    <r>
      <rPr>
        <sz val="10.5"/>
        <color rgb="FF333333"/>
        <rFont val="宋体"/>
        <charset val="134"/>
      </rPr>
      <t>2021年贵池区乌沙镇高标准农田建设项目Ⅲ标段（晏塘社区）</t>
    </r>
  </si>
  <si>
    <r>
      <rPr>
        <sz val="10.5"/>
        <color rgb="FF333333"/>
        <rFont val="宋体"/>
        <charset val="134"/>
      </rPr>
      <t>2021年贵池区乌沙镇高标准农田建设项目Ⅳ标段（莲花村）</t>
    </r>
  </si>
  <si>
    <r>
      <rPr>
        <sz val="10.5"/>
        <color rgb="FF333333"/>
        <rFont val="宋体"/>
        <charset val="134"/>
      </rPr>
      <t>齐山派出所业务用房修缮改造项目工程</t>
    </r>
  </si>
  <si>
    <r>
      <rPr>
        <sz val="10.5"/>
        <color rgb="FF333333"/>
        <rFont val="宋体"/>
        <charset val="134"/>
      </rPr>
      <t>2021年贵池区乌沙镇高标准农田建设项目Ⅴ标段（双塘村）</t>
    </r>
  </si>
  <si>
    <r>
      <rPr>
        <sz val="10.5"/>
        <color rgb="FF333333"/>
        <rFont val="宋体"/>
        <charset val="134"/>
      </rPr>
      <t>2021年贵池区乌沙镇高标准农田建设项目Ⅰ标段（横塘村）</t>
    </r>
  </si>
  <si>
    <r>
      <rPr>
        <sz val="10.5"/>
        <color rgb="FF333333"/>
        <rFont val="宋体"/>
        <charset val="134"/>
      </rPr>
      <t>池州市石台县第二中学教学楼项目</t>
    </r>
  </si>
  <si>
    <r>
      <rPr>
        <sz val="10.5"/>
        <color rgb="FF333333"/>
        <rFont val="宋体"/>
        <charset val="134"/>
      </rPr>
      <t>2021年贵池区秋江街道莲台村高标准农田建设项目I标段</t>
    </r>
  </si>
  <si>
    <r>
      <rPr>
        <sz val="10.5"/>
        <color rgb="FF333333"/>
        <rFont val="宋体"/>
        <charset val="134"/>
      </rPr>
      <t>2021年贵池区秋江街道莲台村高标准农田建设项目Ⅱ标段</t>
    </r>
  </si>
  <si>
    <r>
      <rPr>
        <sz val="10.5"/>
        <color rgb="FF333333"/>
        <rFont val="宋体"/>
        <charset val="134"/>
      </rPr>
      <t>2021年贵池区乌沙镇高标准农田建设项目Ⅱ标段（</t>
    </r>
    <r>
      <rPr>
        <sz val="10.5"/>
        <color rgb="FF333333"/>
        <rFont val="宋体"/>
        <charset val="134"/>
      </rPr>
      <t>乌沙社区）</t>
    </r>
  </si>
  <si>
    <r>
      <rPr>
        <sz val="10.5"/>
        <color rgb="FF333333"/>
        <rFont val="宋体"/>
        <charset val="134"/>
      </rPr>
      <t>青阳县陵阳镇2021年县乡公路升级改造工程（礼陵路、分德路、一天门路）</t>
    </r>
  </si>
  <si>
    <r>
      <rPr>
        <sz val="10.5"/>
        <color rgb="FF333333"/>
        <rFont val="宋体"/>
        <charset val="134"/>
      </rPr>
      <t>2021年贵池区墩上街道高标准农田建设项目—I标段（许桥村）</t>
    </r>
  </si>
  <si>
    <r>
      <rPr>
        <sz val="10.5"/>
        <color rgb="FF333333"/>
        <rFont val="宋体"/>
        <charset val="134"/>
      </rPr>
      <t>2021年贵池区涓桥镇高标准农田建设项目一标段（七一村）</t>
    </r>
  </si>
  <si>
    <r>
      <rPr>
        <sz val="10.5"/>
        <color rgb="FF333333"/>
        <rFont val="宋体"/>
        <charset val="134"/>
      </rPr>
      <t>2021年贵池区涓桥镇高标准农田建设项目二标段（乐岭村、叶管村、凉亭村）</t>
    </r>
  </si>
  <si>
    <r>
      <rPr>
        <sz val="10.5"/>
        <color rgb="FF333333"/>
        <rFont val="宋体"/>
        <charset val="134"/>
      </rPr>
      <t>2021年贵池区梅龙街道高标准农田建设项目I标段（双湖村）</t>
    </r>
  </si>
  <si>
    <r>
      <rPr>
        <sz val="10.5"/>
        <color rgb="FF333333"/>
        <rFont val="宋体"/>
        <charset val="134"/>
      </rPr>
      <t>2021年贵池区墩上街道高标准农田建设项目—III标段（墩上社区、罗城村）</t>
    </r>
  </si>
  <si>
    <r>
      <rPr>
        <sz val="10.5"/>
        <color rgb="FF333333"/>
        <rFont val="宋体"/>
        <charset val="134"/>
      </rPr>
      <t>2021年贵池区墩上街道高标准农田建设项目—II标段（双河村）</t>
    </r>
  </si>
  <si>
    <r>
      <rPr>
        <sz val="10.5"/>
        <color rgb="FF333333"/>
        <rFont val="宋体"/>
        <charset val="134"/>
      </rPr>
      <t>2021年贵池区梅村镇高标准农田建设项目</t>
    </r>
  </si>
  <si>
    <r>
      <rPr>
        <sz val="10.5"/>
        <color rgb="FF333333"/>
        <rFont val="宋体"/>
        <charset val="134"/>
      </rPr>
      <t>2021年贵池区梅龙街道高标准农田建设项目II标段（双岭村）</t>
    </r>
  </si>
  <si>
    <r>
      <rPr>
        <sz val="10.5"/>
        <color rgb="FF333333"/>
        <rFont val="宋体"/>
        <charset val="134"/>
      </rPr>
      <t>2021年贵池区梅龙街道高标准农田建设项目III标段（祠堂村）</t>
    </r>
  </si>
  <si>
    <r>
      <rPr>
        <sz val="10.5"/>
        <color rgb="FF333333"/>
        <rFont val="宋体"/>
        <charset val="134"/>
      </rPr>
      <t>2021年贵池区殷汇镇高标准农田建设项目二标段（石城、长庄村）</t>
    </r>
  </si>
  <si>
    <r>
      <rPr>
        <sz val="10.5"/>
        <color rgb="FF333333"/>
        <rFont val="宋体"/>
        <charset val="134"/>
      </rPr>
      <t>石台县城市公益性公墓建设项目外部连接道路工程</t>
    </r>
  </si>
  <si>
    <r>
      <rPr>
        <sz val="10.5"/>
        <color rgb="FF333333"/>
        <rFont val="宋体"/>
        <charset val="134"/>
      </rPr>
      <t>殷汇镇汇安路人民广场改造及周边街面整治提升项目</t>
    </r>
  </si>
  <si>
    <r>
      <rPr>
        <sz val="10.5"/>
        <color rgb="FF333333"/>
        <rFont val="宋体"/>
        <charset val="134"/>
      </rPr>
      <t>石台县大演乡新农新火农村人居环境整治项目</t>
    </r>
  </si>
  <si>
    <r>
      <rPr>
        <sz val="10.5"/>
        <color rgb="FF333333"/>
        <rFont val="宋体"/>
        <charset val="134"/>
      </rPr>
      <t>青阳县陵阳镇所村太平山房修缮工程</t>
    </r>
  </si>
  <si>
    <r>
      <rPr>
        <sz val="10.5"/>
        <color rgb="FF333333"/>
        <rFont val="宋体"/>
        <charset val="134"/>
      </rPr>
      <t>2021年县城区排水防涝（泵站）建设工程</t>
    </r>
  </si>
  <si>
    <r>
      <rPr>
        <sz val="12"/>
        <color rgb="FF333333"/>
        <rFont val="宋体"/>
        <charset val="134"/>
      </rPr>
      <t>东至县董冲、汪木山等27座水库除险加固工程2标段</t>
    </r>
  </si>
  <si>
    <r>
      <rPr>
        <sz val="12"/>
        <color rgb="FF333333"/>
        <rFont val="宋体"/>
        <charset val="134"/>
      </rPr>
      <t>东至县董冲、汪木山等27座水库除险加固工程6标段</t>
    </r>
  </si>
  <si>
    <r>
      <rPr>
        <sz val="12"/>
        <color rgb="FF333333"/>
        <rFont val="宋体"/>
        <charset val="134"/>
      </rPr>
      <t>东至县董冲、汪木山等27座水库除险加固工程4标段</t>
    </r>
  </si>
  <si>
    <r>
      <rPr>
        <sz val="12"/>
        <color rgb="FF333333"/>
        <rFont val="宋体"/>
        <charset val="134"/>
      </rPr>
      <t>东至县董冲、汪木山等27座水库除险加固工程3标段</t>
    </r>
  </si>
  <si>
    <r>
      <rPr>
        <sz val="10.5"/>
        <color rgb="FF333333"/>
        <rFont val="宋体"/>
        <charset val="134"/>
      </rPr>
      <t>池州市2021年普通国省干线公路灾害防治工程（石台县G237济宁线K820+200-K837+573段、G530黄湖线K154+686-K203+950段）</t>
    </r>
  </si>
  <si>
    <r>
      <rPr>
        <sz val="10.5"/>
        <color rgb="FF333333"/>
        <rFont val="宋体"/>
        <charset val="134"/>
      </rPr>
      <t>朱备小镇客厅室内装修工程</t>
    </r>
  </si>
  <si>
    <r>
      <rPr>
        <sz val="11.25"/>
        <color rgb="FF333333"/>
        <rFont val="宋体"/>
        <charset val="134"/>
      </rPr>
      <t>青阳县</t>
    </r>
    <r>
      <rPr>
        <sz val="11.25"/>
        <color rgb="FF333333"/>
        <rFont val="宋体"/>
        <charset val="134"/>
      </rPr>
      <t>2021年度城区信号灯及电子警察工程</t>
    </r>
  </si>
  <si>
    <t>公路交通工程、公路安全设施及公路机电工程分项</t>
  </si>
  <si>
    <r>
      <rPr>
        <sz val="10.5"/>
        <color rgb="FF333333"/>
        <rFont val="宋体"/>
        <charset val="134"/>
      </rPr>
      <t>石台县小河镇集中供水水厂工程（厂区工程）</t>
    </r>
  </si>
  <si>
    <r>
      <rPr>
        <sz val="10.5"/>
        <color rgb="FF333333"/>
        <rFont val="宋体"/>
        <charset val="134"/>
      </rPr>
      <t>九华山中闵园环境整治改造工程</t>
    </r>
  </si>
  <si>
    <r>
      <rPr>
        <sz val="10.5"/>
        <color rgb="FF333333"/>
        <rFont val="宋体"/>
        <charset val="134"/>
      </rPr>
      <t>石台县小河镇农民工创业园4#厂房工程</t>
    </r>
  </si>
  <si>
    <r>
      <rPr>
        <sz val="10.5"/>
        <color rgb="FF333333"/>
        <rFont val="宋体"/>
        <charset val="134"/>
      </rPr>
      <t>池州市九华山风景区民主水库除险加固工程(I标段)</t>
    </r>
  </si>
  <si>
    <r>
      <rPr>
        <sz val="10.5"/>
        <color rgb="FF333333"/>
        <rFont val="宋体"/>
        <charset val="134"/>
      </rPr>
      <t>池州市九华山风景区友谊水库除险加固工程(I标段)</t>
    </r>
  </si>
  <si>
    <r>
      <rPr>
        <sz val="10.5"/>
        <color rgb="FF000000"/>
        <rFont val="宋体"/>
        <charset val="134"/>
      </rPr>
      <t>小三线文化园建筑景观改造工程</t>
    </r>
    <r>
      <rPr>
        <sz val="10.5"/>
        <color rgb="FF000000"/>
        <rFont val="宋体"/>
        <charset val="134"/>
      </rPr>
      <t>-景观改造</t>
    </r>
  </si>
  <si>
    <r>
      <rPr>
        <sz val="10.5"/>
        <color rgb="FF333333"/>
        <rFont val="宋体"/>
        <charset val="134"/>
      </rPr>
      <t>青阳县石安工业园环境综合整治项目园区道路提升工程（石安路）</t>
    </r>
  </si>
  <si>
    <t>装修装饰工程</t>
  </si>
  <si>
    <r>
      <rPr>
        <sz val="10.5"/>
        <color rgb="FF333333"/>
        <rFont val="宋体"/>
        <charset val="134"/>
      </rPr>
      <t>东至县大渡口镇2021年度汇隆花园老旧小区改造工程</t>
    </r>
  </si>
  <si>
    <r>
      <rPr>
        <sz val="10.5"/>
        <color rgb="FF333333"/>
        <rFont val="宋体"/>
        <charset val="134"/>
      </rPr>
      <t>青阳县童埠及五溪新区人居环境提升项目（五溪风情街安置区）工程</t>
    </r>
  </si>
  <si>
    <r>
      <rPr>
        <b/>
        <sz val="10.5"/>
        <color rgb="FF333333"/>
        <rFont val="宋体"/>
        <charset val="134"/>
      </rPr>
      <t>石台县丁香镇创业园职工周转房工程</t>
    </r>
  </si>
  <si>
    <r>
      <rPr>
        <sz val="10.5"/>
        <color rgb="FF333333"/>
        <rFont val="宋体"/>
        <charset val="134"/>
      </rPr>
      <t>池州市第一中学篮球场及运动场改造项目</t>
    </r>
  </si>
  <si>
    <r>
      <rPr>
        <sz val="12"/>
        <color rgb="FF333333"/>
        <rFont val="宋体"/>
        <charset val="134"/>
      </rPr>
      <t>东至县坦埠路及周边环境整治工程</t>
    </r>
    <r>
      <rPr>
        <sz val="12"/>
        <color rgb="FF333333"/>
        <rFont val="宋体"/>
        <charset val="134"/>
      </rPr>
      <t>-坦埠路</t>
    </r>
  </si>
  <si>
    <r>
      <rPr>
        <sz val="10.5"/>
        <color rgb="FF333333"/>
        <rFont val="宋体"/>
        <charset val="134"/>
      </rPr>
      <t>东至县尧北路改造（东段）一期工程</t>
    </r>
  </si>
  <si>
    <r>
      <rPr>
        <sz val="10.5"/>
        <color rgb="FF000000"/>
        <rFont val="宋体"/>
        <charset val="134"/>
      </rPr>
      <t>池州市</t>
    </r>
    <r>
      <rPr>
        <sz val="10.5"/>
        <color rgb="FF000000"/>
        <rFont val="宋体"/>
        <charset val="134"/>
      </rPr>
      <t>2021年普通国省干线公路危旧桥梁改造工程（Ⅰ标段）</t>
    </r>
  </si>
  <si>
    <r>
      <rPr>
        <sz val="10.5"/>
        <color rgb="FF000000"/>
        <rFont val="宋体"/>
        <charset val="134"/>
      </rPr>
      <t>池州市</t>
    </r>
    <r>
      <rPr>
        <sz val="10.5"/>
        <color rgb="FF000000"/>
        <rFont val="宋体"/>
        <charset val="134"/>
      </rPr>
      <t>2021年普通国省干线公路危旧桥梁改造工程（Ⅱ标段）</t>
    </r>
  </si>
  <si>
    <r>
      <rPr>
        <sz val="10.5"/>
        <color rgb="FF333333"/>
        <rFont val="宋体"/>
        <charset val="134"/>
      </rPr>
      <t>池州市2021年普通国省干线公路安全精细化提升工程（S225池太路、S234杨闪路、S228横九路、S222七景路）</t>
    </r>
  </si>
  <si>
    <r>
      <rPr>
        <sz val="10.5"/>
        <color rgb="FF333333"/>
        <rFont val="宋体"/>
        <charset val="134"/>
      </rPr>
      <t>陵阳镇美丽集镇项目集镇区道排改造工程</t>
    </r>
  </si>
  <si>
    <r>
      <rPr>
        <sz val="10.5"/>
        <color rgb="FF333333"/>
        <rFont val="宋体"/>
        <charset val="134"/>
      </rPr>
      <t>石台县城市公益性公墓九龙桥建设工程</t>
    </r>
  </si>
  <si>
    <r>
      <rPr>
        <sz val="11.25"/>
        <color rgb="FF333333"/>
        <rFont val="宋体"/>
        <charset val="134"/>
      </rPr>
      <t>池州市</t>
    </r>
    <r>
      <rPr>
        <sz val="11.25"/>
        <color rgb="FF333333"/>
        <rFont val="宋体"/>
        <charset val="134"/>
      </rPr>
      <t>S219兰溪桥、S463石壁桥危旧桥梁改造工程</t>
    </r>
  </si>
  <si>
    <r>
      <rPr>
        <sz val="10.5"/>
        <color rgb="FF333333"/>
        <rFont val="微软雅黑"/>
        <charset val="134"/>
      </rPr>
      <t>石台县东山至移民点公路升级改造工程</t>
    </r>
  </si>
  <si>
    <r>
      <rPr>
        <sz val="10.5"/>
        <color rgb="FF333333"/>
        <rFont val="宋体"/>
        <charset val="134"/>
      </rPr>
      <t>石台县源头村河小流域水土保持综合治理工程</t>
    </r>
  </si>
  <si>
    <r>
      <rPr>
        <sz val="10.5"/>
        <color rgb="FF000000"/>
        <rFont val="宋体"/>
        <charset val="134"/>
      </rPr>
      <t>G318秋浦河大桥至池州高速西入口K460+511-K468+511（秋江街道）安全提升工程</t>
    </r>
  </si>
  <si>
    <r>
      <rPr>
        <sz val="10.5"/>
        <color rgb="FF333333"/>
        <rFont val="微软雅黑"/>
        <charset val="134"/>
      </rPr>
      <t>石台县丁香镇丁香至库山岔路口公路升级改造工程</t>
    </r>
  </si>
  <si>
    <r>
      <rPr>
        <sz val="10.5"/>
        <color rgb="FF333333"/>
        <rFont val="微软雅黑"/>
        <charset val="134"/>
      </rPr>
      <t>石台县2022年矶里路升级改造工程</t>
    </r>
  </si>
  <si>
    <r>
      <rPr>
        <sz val="10.5"/>
        <color rgb="FF333333"/>
        <rFont val="微软雅黑"/>
        <charset val="134"/>
      </rPr>
      <t>石台县大演乡白石路升级改造工程</t>
    </r>
  </si>
  <si>
    <r>
      <rPr>
        <sz val="10.5"/>
        <color rgb="FF000000"/>
        <rFont val="宋体"/>
        <charset val="134"/>
      </rPr>
      <t>池州市</t>
    </r>
    <r>
      <rPr>
        <sz val="10.5"/>
        <color rgb="FF000000"/>
        <rFont val="宋体"/>
        <charset val="134"/>
      </rPr>
      <t>2021年普通国省干线公路危旧桥梁改造工程（Ⅲ标段S234红街桥、91米桥）</t>
    </r>
  </si>
  <si>
    <r>
      <rPr>
        <sz val="10.5"/>
        <color rgb="FF333333"/>
        <rFont val="宋体"/>
        <charset val="134"/>
      </rPr>
      <t>池州经济技术开发区下小湖圩堤防洪除险加固工程</t>
    </r>
  </si>
  <si>
    <r>
      <rPr>
        <sz val="11.25"/>
        <color rgb="FF333333"/>
        <rFont val="宋体"/>
        <charset val="134"/>
      </rPr>
      <t>石台县无名桥（香口大桥）改造工程</t>
    </r>
  </si>
  <si>
    <r>
      <rPr>
        <sz val="10.5"/>
        <color rgb="FF333333"/>
        <rFont val="宋体"/>
        <charset val="134"/>
      </rPr>
      <t>大渡口镇新丰圩行政村新丰圩中心村美丽乡村建设工程</t>
    </r>
  </si>
  <si>
    <r>
      <rPr>
        <sz val="10.5"/>
        <color rgb="FF333333"/>
        <rFont val="宋体"/>
        <charset val="134"/>
      </rPr>
      <t>石台县张田河小流域水土保持综合治理工程</t>
    </r>
  </si>
  <si>
    <r>
      <rPr>
        <sz val="12"/>
        <color rgb="FF333333"/>
        <rFont val="宋体"/>
        <charset val="134"/>
      </rPr>
      <t>池州市石台县游泳馆项目</t>
    </r>
  </si>
  <si>
    <r>
      <rPr>
        <sz val="10.5"/>
        <color rgb="FF333333"/>
        <rFont val="宋体"/>
        <charset val="134"/>
      </rPr>
      <t>七都镇乡村振兴产业园（七都镇小微企业创新创业示范基地）建设项目一期</t>
    </r>
    <r>
      <rPr>
        <sz val="10.5"/>
        <color rgb="FF333333"/>
        <rFont val="Times New Roman"/>
        <charset val="134"/>
      </rPr>
      <t>1#</t>
    </r>
    <r>
      <rPr>
        <sz val="10.5"/>
        <color rgb="FF333333"/>
        <rFont val="宋体"/>
        <charset val="134"/>
      </rPr>
      <t>、</t>
    </r>
    <r>
      <rPr>
        <sz val="10.5"/>
        <color rgb="FF333333"/>
        <rFont val="Times New Roman"/>
        <charset val="134"/>
      </rPr>
      <t>2#</t>
    </r>
    <r>
      <rPr>
        <sz val="10.5"/>
        <color rgb="FF333333"/>
        <rFont val="宋体"/>
        <charset val="134"/>
      </rPr>
      <t>厂房</t>
    </r>
  </si>
  <si>
    <r>
      <rPr>
        <sz val="10.5"/>
        <color rgb="FF333333"/>
        <rFont val="宋体"/>
        <charset val="134"/>
      </rPr>
      <t>池州市石台中学多功能教学楼项目</t>
    </r>
  </si>
  <si>
    <r>
      <rPr>
        <sz val="10.5"/>
        <color rgb="FF000000"/>
        <rFont val="宋体"/>
        <charset val="134"/>
      </rPr>
      <t>池州市</t>
    </r>
    <r>
      <rPr>
        <sz val="10.5"/>
        <color rgb="FF000000"/>
        <rFont val="宋体"/>
        <charset val="134"/>
      </rPr>
      <t>2022年普通国省干线公路路面修复与预防性养护工程（S473横洪线K0+000-K36+660 段）</t>
    </r>
  </si>
  <si>
    <r>
      <rPr>
        <sz val="10.5"/>
        <color rgb="FF000000"/>
        <rFont val="宋体"/>
        <charset val="134"/>
      </rPr>
      <t>池州市</t>
    </r>
    <r>
      <rPr>
        <sz val="10.5"/>
        <color rgb="FF000000"/>
        <rFont val="宋体"/>
        <charset val="134"/>
      </rPr>
      <t xml:space="preserve"> G330（K774+371-K775+791段）公路交通安全提升工程</t>
    </r>
  </si>
  <si>
    <r>
      <rPr>
        <sz val="10.5"/>
        <color rgb="FF333333"/>
        <rFont val="宋体"/>
        <charset val="134"/>
      </rPr>
      <t>石台县马村片区城中村旧城改造安置房（老党校地块）</t>
    </r>
  </si>
  <si>
    <r>
      <rPr>
        <sz val="10.5"/>
        <color rgb="FF333333"/>
        <rFont val="宋体"/>
        <charset val="134"/>
      </rPr>
      <t>石台县马村片区城中村旧城改造安置房（石台县委宿舍</t>
    </r>
    <r>
      <rPr>
        <sz val="10.5"/>
        <color rgb="FF333333"/>
        <rFont val="Times New Roman"/>
        <charset val="134"/>
      </rPr>
      <t>A</t>
    </r>
    <r>
      <rPr>
        <sz val="10.5"/>
        <color rgb="FF333333"/>
        <rFont val="宋体"/>
        <charset val="134"/>
      </rPr>
      <t>地块）</t>
    </r>
  </si>
  <si>
    <r>
      <rPr>
        <sz val="12"/>
        <color rgb="FF333333"/>
        <rFont val="宋体"/>
        <charset val="134"/>
      </rPr>
      <t>2022年东至县高标准农田建设项目7标段（东流镇密丰村、长安村）</t>
    </r>
  </si>
  <si>
    <r>
      <rPr>
        <sz val="12"/>
        <color rgb="FF333333"/>
        <rFont val="宋体"/>
        <charset val="134"/>
      </rPr>
      <t>2022年东至县高标准农田建设项目5标段（张溪镇历山村、坦埠村、兰田村）</t>
    </r>
  </si>
  <si>
    <r>
      <rPr>
        <sz val="12"/>
        <color rgb="FF333333"/>
        <rFont val="宋体"/>
        <charset val="134"/>
      </rPr>
      <t>2022年东至县高标准农田建设项目2标段（胜利镇康桥村、城北村）</t>
    </r>
  </si>
  <si>
    <r>
      <rPr>
        <sz val="12"/>
        <color rgb="FF333333"/>
        <rFont val="宋体"/>
        <charset val="134"/>
      </rPr>
      <t>2022年东至县高标准农田建设项目11标段（尧渡镇管山村、建东村、黄泥村、东村村）</t>
    </r>
  </si>
  <si>
    <r>
      <rPr>
        <sz val="12"/>
        <color rgb="FF333333"/>
        <rFont val="宋体"/>
        <charset val="134"/>
      </rPr>
      <t>2022年东至县高标准农田建设项目10标段（香隅镇金鸡村、联峰村、合阜村）</t>
    </r>
  </si>
  <si>
    <r>
      <rPr>
        <sz val="12"/>
        <color rgb="FF333333"/>
        <rFont val="宋体"/>
        <charset val="134"/>
      </rPr>
      <t>2022年东至县高标准农田建设项目3标段（葛公镇同春村、葛公村、联塘村、大华村、留铺村）</t>
    </r>
  </si>
  <si>
    <r>
      <rPr>
        <sz val="12"/>
        <color rgb="FF333333"/>
        <rFont val="宋体"/>
        <charset val="134"/>
      </rPr>
      <t>2022年东至县高标准农田建设项目8标段（花园乡新塘村、花园村、合步村、南溪村）</t>
    </r>
  </si>
  <si>
    <r>
      <rPr>
        <sz val="12"/>
        <color rgb="FF333333"/>
        <rFont val="宋体"/>
        <charset val="134"/>
      </rPr>
      <t>2022年东至县高标准农田建设项目4标段（张溪镇蒲塘村、土桥村、候店村）</t>
    </r>
  </si>
  <si>
    <r>
      <rPr>
        <sz val="12"/>
        <color rgb="FF333333"/>
        <rFont val="宋体"/>
        <charset val="134"/>
      </rPr>
      <t>2022年东至县高标准农田建设项目12标段（尧渡镇毛田村）</t>
    </r>
  </si>
  <si>
    <r>
      <rPr>
        <sz val="10.5"/>
        <color rgb="FF333333"/>
        <rFont val="宋体"/>
        <charset val="134"/>
      </rPr>
      <t>九华大道绿化提升、六七房里东侧沿线景观提升工程</t>
    </r>
  </si>
  <si>
    <r>
      <rPr>
        <sz val="10.5"/>
        <color rgb="FF333333"/>
        <rFont val="宋体"/>
        <charset val="134"/>
      </rPr>
      <t>市政公用工程施工总承包</t>
    </r>
  </si>
  <si>
    <r>
      <rPr>
        <sz val="10.5"/>
        <color rgb="FF333333"/>
        <rFont val="宋体"/>
        <charset val="134"/>
      </rPr>
      <t>甲地国际商贸城消防整改工程</t>
    </r>
  </si>
  <si>
    <r>
      <rPr>
        <sz val="10.5"/>
        <color rgb="FF000000"/>
        <rFont val="宋体"/>
        <charset val="134"/>
      </rPr>
      <t>池州市2022年普通国省干线公路灾害防治工程（S473横洪线K0+000～K36+660段）</t>
    </r>
  </si>
  <si>
    <r>
      <rPr>
        <sz val="10.5"/>
        <color rgb="FF333333"/>
        <rFont val="宋体"/>
        <charset val="134"/>
      </rPr>
      <t>石台县丁香镇白亭子至库山村委会双车道公路工程</t>
    </r>
  </si>
  <si>
    <r>
      <rPr>
        <sz val="10.5"/>
        <color rgb="FF000000"/>
        <rFont val="宋体"/>
        <charset val="134"/>
      </rPr>
      <t>池州市</t>
    </r>
    <r>
      <rPr>
        <sz val="10.5"/>
        <color rgb="FF000000"/>
        <rFont val="宋体"/>
        <charset val="134"/>
      </rPr>
      <t>2022年普通国省干线公路安全精细化提升工程（S473横洪线K0+000～K36+660段）</t>
    </r>
  </si>
  <si>
    <r>
      <rPr>
        <sz val="10.5"/>
        <color rgb="FF000000"/>
        <rFont val="宋体"/>
        <charset val="134"/>
      </rPr>
      <t>交通工程</t>
    </r>
  </si>
  <si>
    <r>
      <rPr>
        <sz val="10.5"/>
        <color rgb="FF333333"/>
        <rFont val="宋体"/>
        <charset val="134"/>
      </rPr>
      <t>安徽晶纭先进材料有限责任公司厂区工程</t>
    </r>
  </si>
  <si>
    <r>
      <rPr>
        <sz val="11.25"/>
        <color rgb="FF333333"/>
        <rFont val="宋体"/>
        <charset val="134"/>
      </rPr>
      <t>池州市2022年普通国省干线公路危旧桥梁改造及预防性养护工程（Ⅱ标段）（向阳桥、跃进桥、立新桥）</t>
    </r>
  </si>
  <si>
    <r>
      <rPr>
        <sz val="11.25"/>
        <color rgb="FF333333"/>
        <rFont val="宋体"/>
        <charset val="134"/>
      </rPr>
      <t>池州市2022年普通国省干线公路危旧桥梁改造及预防性养护工程(Ⅰ标段）（桥庵桥、四道桥、芙蓉桥、瓦岗寨桥、鹰嘴石桥、老虎嘴桥）</t>
    </r>
  </si>
  <si>
    <r>
      <rPr>
        <sz val="11.25"/>
        <color rgb="FF333333"/>
        <rFont val="宋体"/>
        <charset val="134"/>
      </rPr>
      <t>池州市2022年普通国省干线公路危旧桥梁改造及预防性养护工程(Ⅲ标段）（红旗桥、南山崖桥、新开大桥、杨桥中桥、小石山桥、江口养殖厂桥、九华河左桥、九华河右桥、沟汀桥）</t>
    </r>
  </si>
  <si>
    <r>
      <rPr>
        <sz val="10.5"/>
        <color rgb="FF333333"/>
        <rFont val="宋体"/>
        <charset val="134"/>
      </rPr>
      <t>池州市</t>
    </r>
    <r>
      <rPr>
        <sz val="10.5"/>
        <color rgb="FF333333"/>
        <rFont val="宋体"/>
        <charset val="134"/>
      </rPr>
      <t>2022年普通国省干线公路（省道部分）灾害防治工程（Ⅰ标段S222七景路）</t>
    </r>
  </si>
  <si>
    <r>
      <rPr>
        <sz val="10.5"/>
        <color rgb="FF333333"/>
        <rFont val="宋体"/>
        <charset val="134"/>
      </rPr>
      <t>池州市</t>
    </r>
    <r>
      <rPr>
        <sz val="10.5"/>
        <color rgb="FF333333"/>
        <rFont val="宋体"/>
        <charset val="134"/>
      </rPr>
      <t>2022年普通国省干线公路（省道部分）灾害防治工程（Ⅲ标段S219青美路）</t>
    </r>
  </si>
  <si>
    <r>
      <rPr>
        <sz val="10.5"/>
        <color rgb="FF333333"/>
        <rFont val="宋体"/>
        <charset val="134"/>
      </rPr>
      <t>池州市</t>
    </r>
    <r>
      <rPr>
        <sz val="10.5"/>
        <color rgb="FF333333"/>
        <rFont val="宋体"/>
        <charset val="134"/>
      </rPr>
      <t>2022年普通国省干线公路（省道部分）灾害防治工程（Ⅳ标段S228横九路）</t>
    </r>
  </si>
  <si>
    <r>
      <rPr>
        <sz val="10.5"/>
        <color rgb="FF333333"/>
        <rFont val="宋体"/>
        <charset val="134"/>
      </rPr>
      <t>池州市</t>
    </r>
    <r>
      <rPr>
        <sz val="10.5"/>
        <color rgb="FF333333"/>
        <rFont val="宋体"/>
        <charset val="134"/>
      </rPr>
      <t>2022年普通国省干线公路（省道部分）灾害防治工程（Ⅱ标段S234杨闪路）</t>
    </r>
  </si>
  <si>
    <r>
      <rPr>
        <sz val="10.5"/>
        <color rgb="FF000000"/>
        <rFont val="宋体"/>
        <charset val="134"/>
      </rPr>
      <t>石台县2022年农村公路养护工程（仁七路（伍石路）预防性养护工程）</t>
    </r>
  </si>
  <si>
    <r>
      <rPr>
        <sz val="10.5"/>
        <color rgb="FF333333"/>
        <rFont val="宋体"/>
        <charset val="134"/>
      </rPr>
      <t>2022年九华山风景区农村公路养护工程</t>
    </r>
  </si>
  <si>
    <r>
      <rPr>
        <sz val="10.5"/>
        <color rgb="FF333333"/>
        <rFont val="宋体"/>
        <charset val="134"/>
      </rPr>
      <t>正义路、大渡口路北段、葛公路道路工程</t>
    </r>
  </si>
  <si>
    <r>
      <rPr>
        <b/>
        <sz val="10.5"/>
        <color rgb="FF333333"/>
        <rFont val="宋体"/>
        <charset val="134"/>
      </rPr>
      <t>市政公用工程施工总承包</t>
    </r>
  </si>
  <si>
    <r>
      <rPr>
        <sz val="10.5"/>
        <color rgb="FF333333"/>
        <rFont val="宋体"/>
        <charset val="134"/>
      </rPr>
      <t>2022年九华山风景区农村公路提质改造工程—联网路建设项目</t>
    </r>
  </si>
  <si>
    <r>
      <rPr>
        <sz val="10.5"/>
        <color rgb="FF000000"/>
        <rFont val="宋体"/>
        <charset val="134"/>
      </rPr>
      <t>青阳县平岗路延伸段改建工程</t>
    </r>
  </si>
  <si>
    <r>
      <rPr>
        <sz val="11.25"/>
        <color rgb="FF333333"/>
        <rFont val="宋体"/>
        <charset val="134"/>
      </rPr>
      <t>青阳县2022年农村公路养护（童朱路、将苏路、五楼路路面大中修）工程</t>
    </r>
  </si>
  <si>
    <r>
      <rPr>
        <sz val="10.5"/>
        <color rgb="FF333333"/>
        <rFont val="宋体"/>
        <charset val="134"/>
      </rPr>
      <t>石台县小河镇郑村村至红石村道路改建工程项目</t>
    </r>
  </si>
  <si>
    <r>
      <rPr>
        <sz val="10.5"/>
        <color rgb="FF333333"/>
        <rFont val="宋体"/>
        <charset val="134"/>
      </rPr>
      <t>贵池区2022年“四好农村路”养护工程（小修及预防性养护）</t>
    </r>
  </si>
  <si>
    <r>
      <rPr>
        <sz val="10.5"/>
        <color rgb="FF333333"/>
        <rFont val="宋体"/>
        <charset val="134"/>
      </rPr>
      <t>青阳县2022年农村公路预养护工程一标段（上粽路、东厚路）</t>
    </r>
    <r>
      <rPr>
        <sz val="10.5"/>
        <color rgb="FF333333"/>
        <rFont val="宋体"/>
        <charset val="134"/>
      </rPr>
      <t> </t>
    </r>
  </si>
  <si>
    <r>
      <rPr>
        <sz val="10.5"/>
        <color rgb="FF333333"/>
        <rFont val="宋体"/>
        <charset val="134"/>
      </rPr>
      <t>青阳县2022年农村公路预养护工程二标段（云童路、茅太路）</t>
    </r>
  </si>
  <si>
    <r>
      <rPr>
        <sz val="10.5"/>
        <color rgb="FF333333"/>
        <rFont val="宋体"/>
        <charset val="134"/>
      </rPr>
      <t>青阳县2022年城区标线标牌工程</t>
    </r>
  </si>
  <si>
    <r>
      <rPr>
        <sz val="10.5"/>
        <color rgb="FF333333"/>
        <rFont val="宋体"/>
        <charset val="134"/>
      </rPr>
      <t>公路交通工程</t>
    </r>
  </si>
  <si>
    <r>
      <rPr>
        <sz val="14.25"/>
        <color rgb="FF333333"/>
        <rFont val="仿宋"/>
        <charset val="134"/>
      </rPr>
      <t>池州市2022年(第二批)普通国省干线公路危旧桥梁(国道)改造工程Ⅰ标段</t>
    </r>
  </si>
  <si>
    <r>
      <rPr>
        <sz val="14.25"/>
        <color rgb="FF333333"/>
        <rFont val="仿宋"/>
        <charset val="134"/>
      </rPr>
      <t>池州市2022年(第二批)普通国省干线公路危旧桥梁(国道)改造工程Ⅱ标段</t>
    </r>
  </si>
  <si>
    <r>
      <rPr>
        <sz val="14.25"/>
        <color rgb="FF333333"/>
        <rFont val="仿宋"/>
        <charset val="134"/>
      </rPr>
      <t>池州市2022年(第二批)普通国省干线公路危旧桥梁(国道)改造工程Ⅴ标段</t>
    </r>
  </si>
  <si>
    <r>
      <rPr>
        <sz val="14.25"/>
        <color rgb="FF333333"/>
        <rFont val="仿宋"/>
        <charset val="134"/>
      </rPr>
      <t>池州市2022年(第二批)普通国省干线公路危旧桥梁(国道)改造工程IV标段</t>
    </r>
  </si>
  <si>
    <r>
      <rPr>
        <sz val="14.25"/>
        <color rgb="FF333333"/>
        <rFont val="仿宋"/>
        <charset val="134"/>
      </rPr>
      <t>池州市2022年(第二批)普通国省干线公路危旧桥梁(国道)改造工程Ⅲ标段</t>
    </r>
  </si>
  <si>
    <t>https://ggj.chizhou.gov.cn/front/bidcontent/9005001004/774c15159ee74d978c11f33ff9b1e983</t>
  </si>
  <si>
    <r>
      <rPr>
        <sz val="14.25"/>
        <color rgb="FF333333"/>
        <rFont val="仿宋"/>
        <charset val="134"/>
      </rPr>
      <t>池州市2022年(第二批)普通国省干线公路危旧桥梁(国道)改造工程VI标段</t>
    </r>
  </si>
  <si>
    <r>
      <rPr>
        <sz val="11.25"/>
        <color rgb="FF333333"/>
        <rFont val="宋体"/>
        <charset val="134"/>
      </rPr>
      <t>2022年农村公路危桥改造工程二标段（王狮铺桥）</t>
    </r>
  </si>
  <si>
    <r>
      <rPr>
        <sz val="10.5"/>
        <color rgb="FF333333"/>
        <rFont val="宋体"/>
        <charset val="134"/>
      </rPr>
      <t>2022年农村公路危桥改造工程一标段（平元桥）</t>
    </r>
  </si>
  <si>
    <r>
      <rPr>
        <sz val="11.25"/>
        <color rgb="FF333333"/>
        <rFont val="宋体"/>
        <charset val="134"/>
      </rPr>
      <t>池州市2022年（第二批）普通国省干线公路（国道）灾害防治工程（Ⅱ标段）</t>
    </r>
  </si>
  <si>
    <r>
      <rPr>
        <sz val="10.5"/>
        <color rgb="FF333333"/>
        <rFont val="宋体"/>
        <charset val="134"/>
      </rPr>
      <t>池州市2022年（第二批）普通国省干线公路（S219）灾害防治工程</t>
    </r>
  </si>
  <si>
    <r>
      <rPr>
        <sz val="11.25"/>
        <color rgb="FF333333"/>
        <rFont val="宋体"/>
        <charset val="134"/>
      </rPr>
      <t>池州市2022年（第二批）普通国省干线公路（国道）灾害防治工程（Ⅰ标段）</t>
    </r>
  </si>
  <si>
    <r>
      <rPr>
        <sz val="14.25"/>
        <color rgb="FF333333"/>
        <rFont val="仿宋"/>
        <charset val="134"/>
      </rPr>
      <t>G318 秋浦河大桥危旧桥梁改造（船舶碰撞桥梁隐患治理）养护工程</t>
    </r>
  </si>
  <si>
    <r>
      <rPr>
        <sz val="10.5"/>
        <color rgb="FF333333"/>
        <rFont val="宋体"/>
        <charset val="134"/>
      </rPr>
      <t>石台县横渡镇杨村桥建设工程项目</t>
    </r>
  </si>
  <si>
    <r>
      <rPr>
        <sz val="10.5"/>
        <color rgb="FF333333"/>
        <rFont val="宋体"/>
        <charset val="134"/>
      </rPr>
      <t>东至县花园乡双河村北岸桥改造工程</t>
    </r>
  </si>
  <si>
    <r>
      <rPr>
        <sz val="10.5"/>
        <color rgb="FF333333"/>
        <rFont val="宋体"/>
        <charset val="134"/>
      </rPr>
      <t>2022年青阳县城区交通设施维修建设工程</t>
    </r>
  </si>
  <si>
    <r>
      <rPr>
        <u/>
        <sz val="10.5"/>
        <color rgb="FF333333"/>
        <rFont val="宋体"/>
        <charset val="134"/>
      </rPr>
      <t>公路交通工程专业承包</t>
    </r>
  </si>
  <si>
    <r>
      <rPr>
        <sz val="11.25"/>
        <color rgb="FF000000"/>
        <rFont val="宋体"/>
        <charset val="134"/>
      </rPr>
      <t>石台县矶滩乡济宁路至外重阳公路升级改造工程</t>
    </r>
  </si>
  <si>
    <r>
      <rPr>
        <sz val="14.25"/>
        <color rgb="FF333333"/>
        <rFont val="仿宋"/>
        <charset val="134"/>
      </rPr>
      <t>池州市2022年（第二批）普通国省干线公路（G330）安全提升工程</t>
    </r>
  </si>
  <si>
    <r>
      <rPr>
        <sz val="10.5"/>
        <color rgb="FF333333"/>
        <rFont val="宋体"/>
        <charset val="134"/>
      </rPr>
      <t>池州市2022年（第二批）普通国省干线公路（S219）安全提升工程</t>
    </r>
  </si>
  <si>
    <r>
      <rPr>
        <sz val="14.25"/>
        <color rgb="FF333333"/>
        <rFont val="仿宋"/>
        <charset val="134"/>
      </rPr>
      <t>池州市2022年普通国省干线公路S234板桥危桥改造工程</t>
    </r>
  </si>
  <si>
    <r>
      <rPr>
        <sz val="11.25"/>
        <color rgb="FF333333"/>
        <rFont val="宋体"/>
        <charset val="134"/>
      </rPr>
      <t>石台县杨树村至七里坞至洪村公路地质灾害防治及安全提升工程</t>
    </r>
  </si>
  <si>
    <r>
      <rPr>
        <sz val="10.5"/>
        <color rgb="FF333333"/>
        <rFont val="宋体"/>
        <charset val="134"/>
      </rPr>
      <t>石台县2023年度县乡道危桥改造工程（C050一桥）</t>
    </r>
  </si>
  <si>
    <r>
      <rPr>
        <sz val="10.5"/>
        <color rgb="FF333333"/>
        <rFont val="宋体"/>
        <charset val="134"/>
      </rPr>
      <t>石台县仙寓镇七里坞至仙寓山公路升级改造工程</t>
    </r>
  </si>
  <si>
    <r>
      <rPr>
        <sz val="10.5"/>
        <color rgb="FF333333"/>
        <rFont val="宋体"/>
        <charset val="134"/>
      </rPr>
      <t>石台县七都镇水槽至胭脂桥道路建设工程项目</t>
    </r>
  </si>
  <si>
    <r>
      <rPr>
        <sz val="11.25"/>
        <color rgb="FF333333"/>
        <rFont val="宋体"/>
        <charset val="134"/>
      </rPr>
      <t>石台县七都镇大河口桥建设工程</t>
    </r>
  </si>
  <si>
    <r>
      <rPr>
        <sz val="11.25"/>
        <color rgb="FF333333"/>
        <rFont val="宋体"/>
        <charset val="134"/>
      </rPr>
      <t>石台县仙寓镇</t>
    </r>
    <r>
      <rPr>
        <sz val="11.25"/>
        <color rgb="FF333333"/>
        <rFont val="宋体"/>
        <charset val="134"/>
      </rPr>
      <t xml:space="preserve"> </t>
    </r>
    <r>
      <rPr>
        <sz val="11.25"/>
        <color rgb="FF333333"/>
        <rFont val="宋体"/>
        <charset val="134"/>
      </rPr>
      <t>S473 至仙牌路连接路升级改造工程</t>
    </r>
  </si>
  <si>
    <r>
      <rPr>
        <sz val="10.5"/>
        <color rgb="FF333333"/>
        <rFont val="宋体"/>
        <charset val="134"/>
      </rPr>
      <t>石台县城市公益性公墓建设项目外部连接道路工程（路面工程）项目</t>
    </r>
  </si>
  <si>
    <r>
      <rPr>
        <sz val="10.5"/>
        <color rgb="FF333333"/>
        <rFont val="宋体"/>
        <charset val="134"/>
      </rPr>
      <t>青阳县经济开发区童埠园区纬一路道路工程</t>
    </r>
  </si>
  <si>
    <r>
      <rPr>
        <sz val="10.5"/>
        <color rgb="FF333333"/>
        <rFont val="宋体"/>
        <charset val="134"/>
      </rPr>
      <t>2023年九华山风景区农村公路养护工程</t>
    </r>
  </si>
  <si>
    <r>
      <rPr>
        <sz val="10.5"/>
        <color rgb="FF333333"/>
        <rFont val="宋体"/>
        <charset val="134"/>
      </rPr>
      <t>石台县2023年度农村公路养护工程</t>
    </r>
  </si>
  <si>
    <r>
      <rPr>
        <sz val="10.5"/>
        <color rgb="FF333333"/>
        <rFont val="宋体"/>
        <charset val="134"/>
      </rPr>
      <t>青阳县2023年农村公路养护工程（酉宋路、上粽路路面大中修）</t>
    </r>
  </si>
  <si>
    <r>
      <rPr>
        <sz val="10.5"/>
        <color rgb="FF333333"/>
        <rFont val="宋体"/>
        <charset val="134"/>
      </rPr>
      <t>石台县大演乡孙家桥改建工程</t>
    </r>
  </si>
  <si>
    <r>
      <rPr>
        <sz val="10.5"/>
        <color rgb="FF333333"/>
        <rFont val="宋体"/>
        <charset val="134"/>
      </rPr>
      <t>青阳县蓉城镇X307G318交口至荷风莲影基地升级改造工程</t>
    </r>
  </si>
  <si>
    <r>
      <rPr>
        <sz val="10.5"/>
        <color rgb="FF333333"/>
        <rFont val="宋体"/>
        <charset val="134"/>
      </rPr>
      <t>青阳县2023年文明创建标线标牌工程</t>
    </r>
  </si>
  <si>
    <r>
      <rPr>
        <b/>
        <u/>
        <sz val="12"/>
        <color rgb="FF333333"/>
        <rFont val="宋体"/>
        <charset val="134"/>
      </rPr>
      <t>水利水电工程 </t>
    </r>
    <r>
      <rPr>
        <sz val="12"/>
        <color rgb="FF333333"/>
        <rFont val="宋体"/>
        <charset val="134"/>
      </rPr>
      <t>施工总承包和</t>
    </r>
    <r>
      <rPr>
        <b/>
        <u/>
        <sz val="12"/>
        <color rgb="FF333333"/>
        <rFont val="宋体"/>
        <charset val="134"/>
      </rPr>
      <t xml:space="preserve">市政公用工程 </t>
    </r>
    <r>
      <rPr>
        <sz val="12"/>
        <color rgb="FF333333"/>
        <rFont val="宋体"/>
        <charset val="134"/>
      </rPr>
      <t>施工总承包</t>
    </r>
  </si>
  <si>
    <r>
      <rPr>
        <sz val="10.5"/>
        <color rgb="FF000000"/>
        <rFont val="宋体"/>
        <charset val="134"/>
      </rPr>
      <t>石台县公信河横渡镇以上段防洪治理工程</t>
    </r>
  </si>
  <si>
    <r>
      <rPr>
        <sz val="10.5"/>
        <color rgb="FF333333"/>
        <rFont val="宋体"/>
        <charset val="134"/>
      </rPr>
      <t>石台县2022年省计划小型水库除险加固工程施工一标</t>
    </r>
  </si>
  <si>
    <r>
      <rPr>
        <sz val="10.5"/>
        <color rgb="FF333333"/>
        <rFont val="宋体"/>
        <charset val="134"/>
      </rPr>
      <t>石台县2022年省计划小型水库除险加固工程施工二标</t>
    </r>
  </si>
  <si>
    <r>
      <rPr>
        <sz val="10.5"/>
        <color rgb="FF333333"/>
        <rFont val="宋体"/>
        <charset val="134"/>
      </rPr>
      <t>石台县2022年省计划小型水库除险加固工程施工三标</t>
    </r>
  </si>
  <si>
    <r>
      <rPr>
        <sz val="10.5"/>
        <color rgb="FF333333"/>
        <rFont val="宋体"/>
        <charset val="134"/>
      </rPr>
      <t>池州市贵池区毛棚小流域水土保持综合治理工程</t>
    </r>
  </si>
  <si>
    <r>
      <rPr>
        <sz val="10.5"/>
        <color rgb="FF333333"/>
        <rFont val="宋体"/>
        <charset val="134"/>
      </rPr>
      <t>池州市贵池区马衙河小流域水土保持综合治理工程</t>
    </r>
  </si>
  <si>
    <r>
      <rPr>
        <sz val="12"/>
        <color rgb="FF333333"/>
        <rFont val="宋体"/>
        <charset val="134"/>
      </rPr>
      <t>东至县2022年度白茆、杨屋等7座水库除险加固工程二标段</t>
    </r>
  </si>
  <si>
    <r>
      <rPr>
        <sz val="12"/>
        <color rgb="FF333333"/>
        <rFont val="宋体"/>
        <charset val="134"/>
      </rPr>
      <t>东至县2022年度白茆、杨屋等7座水库除险加固工程一标段</t>
    </r>
  </si>
  <si>
    <r>
      <rPr>
        <sz val="10.5"/>
        <color rgb="FF000000"/>
        <rFont val="宋体"/>
        <charset val="134"/>
      </rPr>
      <t>东至县老虎岗排涝站（老站）拆除重建工程</t>
    </r>
  </si>
  <si>
    <r>
      <rPr>
        <sz val="14.25"/>
        <color rgb="FF000000"/>
        <rFont val="仿宋"/>
        <charset val="134"/>
      </rPr>
      <t>东至县尧渡河步头湾至欧窑段防洪治理工程</t>
    </r>
  </si>
  <si>
    <r>
      <rPr>
        <sz val="10.5"/>
        <color rgb="FF333333"/>
        <rFont val="宋体"/>
        <charset val="134"/>
      </rPr>
      <t>青阳县</t>
    </r>
    <r>
      <rPr>
        <sz val="10.5"/>
        <color rgb="FF333333"/>
        <rFont val="宋体"/>
        <charset val="134"/>
      </rPr>
      <t>2022年花园口水库等7座小型水库除险加固工程</t>
    </r>
    <r>
      <rPr>
        <sz val="10.5"/>
        <color rgb="FF333333"/>
        <rFont val="宋体"/>
        <charset val="134"/>
      </rPr>
      <t>施工标</t>
    </r>
  </si>
  <si>
    <r>
      <rPr>
        <sz val="10.5"/>
        <color rgb="FF333333"/>
        <rFont val="宋体"/>
        <charset val="134"/>
      </rPr>
      <t>池州市贵池区建国排涝站拆除重建工程施工</t>
    </r>
  </si>
  <si>
    <r>
      <rPr>
        <sz val="10.5"/>
        <color rgb="FF333333"/>
        <rFont val="宋体"/>
        <charset val="134"/>
      </rPr>
      <t>青阳县童埠智慧泵站建设工程</t>
    </r>
  </si>
  <si>
    <r>
      <rPr>
        <sz val="10.5"/>
        <color rgb="FF333333"/>
        <rFont val="宋体"/>
        <charset val="134"/>
      </rPr>
      <t>青阳县七星河乔木段防洪治理工程</t>
    </r>
  </si>
  <si>
    <r>
      <rPr>
        <sz val="10.5"/>
        <color rgb="FF333333"/>
        <rFont val="宋体"/>
        <charset val="134"/>
      </rPr>
      <t>白洋河横山段堤防加固工程</t>
    </r>
  </si>
  <si>
    <r>
      <rPr>
        <sz val="10.5"/>
        <color rgb="FF333333"/>
        <rFont val="宋体"/>
        <charset val="134"/>
      </rPr>
      <t>贵池区牛头山镇长林河环境综合整治项目一期工程</t>
    </r>
  </si>
  <si>
    <r>
      <rPr>
        <sz val="10.5"/>
        <color rgb="FF333333"/>
        <rFont val="宋体"/>
        <charset val="134"/>
      </rPr>
      <t>青阳县五溪自来水厂新建工程</t>
    </r>
  </si>
  <si>
    <r>
      <rPr>
        <sz val="12"/>
        <color rgb="FF333333"/>
        <rFont val="宋体"/>
        <charset val="134"/>
      </rPr>
      <t>池州市贵池区建国排涝站拆除重建工程金属结构制作标</t>
    </r>
  </si>
  <si>
    <r>
      <rPr>
        <sz val="10.5"/>
        <color rgb="FF333333"/>
        <rFont val="宋体"/>
        <charset val="134"/>
      </rPr>
      <t>2023年石台县横渡镇、大演乡高标准农田建设项目</t>
    </r>
  </si>
  <si>
    <r>
      <rPr>
        <sz val="10.5"/>
        <color rgb="FF333333"/>
        <rFont val="宋体"/>
        <charset val="134"/>
      </rPr>
      <t>2023年石台县小河镇高标准农田建设改造提升项目</t>
    </r>
  </si>
  <si>
    <r>
      <rPr>
        <sz val="10.5"/>
        <color rgb="FF333333"/>
        <rFont val="宋体"/>
        <charset val="134"/>
      </rPr>
      <t>2022年青阳县蓉城镇合心村废弃坑塘复垦项目</t>
    </r>
  </si>
  <si>
    <r>
      <rPr>
        <sz val="14.25"/>
        <color rgb="FF333333"/>
        <rFont val="仿宋"/>
        <charset val="134"/>
      </rPr>
      <t>青阳县童埠智慧泵站建设工程电气设备及自动化标</t>
    </r>
  </si>
  <si>
    <r>
      <rPr>
        <sz val="10.5"/>
        <color rgb="FF333333"/>
        <rFont val="宋体"/>
        <charset val="134"/>
      </rPr>
      <t>石台县剡溪河小流域水土保持综合治理工程</t>
    </r>
  </si>
  <si>
    <r>
      <rPr>
        <sz val="10.5"/>
        <color rgb="FF333333"/>
        <rFont val="宋体"/>
        <charset val="134"/>
      </rPr>
      <t>石台县小桐坑小流域水土保持综合治理工程</t>
    </r>
  </si>
  <si>
    <r>
      <rPr>
        <sz val="10.5"/>
        <color rgb="FF000000"/>
        <rFont val="宋体"/>
        <charset val="134"/>
      </rPr>
      <t>青阳县狮山河小流域水土保持综合治理工程</t>
    </r>
  </si>
  <si>
    <r>
      <rPr>
        <sz val="10.5"/>
        <color rgb="FF333333"/>
        <rFont val="宋体"/>
        <charset val="134"/>
      </rPr>
      <t>池州市贵池区查村圩堤防应急加固工程</t>
    </r>
  </si>
  <si>
    <r>
      <rPr>
        <u/>
        <sz val="10.5"/>
        <color rgb="FF000000"/>
        <rFont val="Arial"/>
        <charset val="134"/>
      </rPr>
      <t>池州市东至县永丰河小流域水土保持综合治理工程</t>
    </r>
  </si>
  <si>
    <r>
      <rPr>
        <sz val="10.5"/>
        <color rgb="FF333333"/>
        <rFont val="宋体"/>
        <charset val="134"/>
      </rPr>
      <t>东至县东流水厂改扩建工程</t>
    </r>
  </si>
  <si>
    <r>
      <rPr>
        <sz val="11.25"/>
        <color rgb="FF333333"/>
        <rFont val="宋体"/>
        <charset val="134"/>
      </rPr>
      <t>东至县城乡供水一体化项目青山水厂新建工程</t>
    </r>
  </si>
  <si>
    <r>
      <rPr>
        <sz val="14.25"/>
        <color rgb="FF333333"/>
        <rFont val="仿宋"/>
        <charset val="134"/>
      </rPr>
      <t>东至县龙泉河上游段防洪治理工程一标段</t>
    </r>
  </si>
  <si>
    <r>
      <rPr>
        <sz val="14.25"/>
        <color rgb="FF333333"/>
        <rFont val="仿宋"/>
        <charset val="134"/>
      </rPr>
      <t>东至县龙泉河上游段防洪治理工程二标段</t>
    </r>
  </si>
  <si>
    <r>
      <rPr>
        <sz val="10.5"/>
        <color rgb="FF333333"/>
        <rFont val="宋体"/>
        <charset val="134"/>
      </rPr>
      <t>青阳县2023年丰收水库等5座小型水库除险加固工程</t>
    </r>
  </si>
  <si>
    <r>
      <rPr>
        <sz val="10.5"/>
        <color rgb="FF333333"/>
        <rFont val="宋体"/>
        <charset val="134"/>
      </rPr>
      <t>池州市贵池区秋江圩东埂灌区续建配套与节水改造工程（一标段）</t>
    </r>
  </si>
  <si>
    <r>
      <rPr>
        <sz val="10.5"/>
        <color rgb="FF333333"/>
        <rFont val="宋体"/>
        <charset val="134"/>
      </rPr>
      <t>池州市贵池区秋江圩东埂灌区续建配套与节水改造工程（二标段）</t>
    </r>
  </si>
  <si>
    <r>
      <rPr>
        <sz val="14.25"/>
        <color rgb="FF333333"/>
        <rFont val="仿宋"/>
        <charset val="134"/>
      </rPr>
      <t>东至县七里湖灌区续建配套与节水改造项目施工标</t>
    </r>
  </si>
  <si>
    <r>
      <rPr>
        <sz val="10.5"/>
        <color rgb="FF333333"/>
        <rFont val="宋体"/>
        <charset val="134"/>
      </rPr>
      <t>石台县2023年建国等八座水库除险加固工程</t>
    </r>
  </si>
  <si>
    <r>
      <rPr>
        <sz val="10.5"/>
        <color rgb="FF333333"/>
        <rFont val="宋体"/>
        <charset val="134"/>
      </rPr>
      <t>2023年青阳县高标准农田建设项目II标段（木镇镇）</t>
    </r>
  </si>
  <si>
    <r>
      <rPr>
        <sz val="10.5"/>
        <color rgb="FF333333"/>
        <rFont val="宋体"/>
        <charset val="134"/>
      </rPr>
      <t>2023年青阳县高标准农田建设项目I标段（丁桥镇）</t>
    </r>
  </si>
  <si>
    <r>
      <rPr>
        <sz val="10.5"/>
        <color rgb="FF333333"/>
        <rFont val="宋体"/>
        <charset val="134"/>
      </rPr>
      <t>2023年青阳县高标准农田建设项目III标段（乔木乡）</t>
    </r>
  </si>
  <si>
    <r>
      <rPr>
        <sz val="10.5"/>
        <color rgb="FF333333"/>
        <rFont val="宋体"/>
        <charset val="134"/>
      </rPr>
      <t>2023年贵池区高标准农田建设项目4标段（乌沙镇）</t>
    </r>
  </si>
  <si>
    <r>
      <rPr>
        <sz val="10.5"/>
        <color rgb="FF333333"/>
        <rFont val="宋体"/>
        <charset val="134"/>
      </rPr>
      <t>2023年贵池区高标准农田建设项目5标段（殷汇镇）</t>
    </r>
  </si>
  <si>
    <r>
      <rPr>
        <sz val="10.5"/>
        <color rgb="FF333333"/>
        <rFont val="宋体"/>
        <charset val="134"/>
      </rPr>
      <t>2023年青阳县高标准农田改造提升建设项目IV标段（酉华、朱备镇）</t>
    </r>
  </si>
  <si>
    <r>
      <rPr>
        <sz val="10.5"/>
        <color rgb="FF333333"/>
        <rFont val="宋体"/>
        <charset val="134"/>
      </rPr>
      <t>童埠圩堤防提标升级项目（青阳县童埠圩堤防2022年度应急加固工程）</t>
    </r>
  </si>
  <si>
    <r>
      <rPr>
        <sz val="10.5"/>
        <color rgb="FF333333"/>
        <rFont val="宋体"/>
        <charset val="134"/>
      </rPr>
      <t>2023年贵池区高标准农田建设项目2标段（秋江街道阮桥社区）</t>
    </r>
  </si>
  <si>
    <r>
      <rPr>
        <sz val="10.5"/>
        <color rgb="FF333333"/>
        <rFont val="宋体"/>
        <charset val="134"/>
      </rPr>
      <t>2023年贵池区高标准农田建设项目3标段（秋江街道万宝村)</t>
    </r>
  </si>
  <si>
    <r>
      <rPr>
        <sz val="10.5"/>
        <color rgb="FF333333"/>
        <rFont val="宋体"/>
        <charset val="134"/>
      </rPr>
      <t>2023年贵池区高标准农田建设项目7标段（梅龙街道）</t>
    </r>
  </si>
  <si>
    <r>
      <rPr>
        <sz val="10.5"/>
        <color rgb="FF333333"/>
        <rFont val="宋体"/>
        <charset val="134"/>
      </rPr>
      <t>2023年贵池区高标准农田建设项目8标段（涓桥镇、墩上家人家庭农场）</t>
    </r>
  </si>
  <si>
    <r>
      <rPr>
        <sz val="10.5"/>
        <color rgb="FF333333"/>
        <rFont val="宋体"/>
        <charset val="134"/>
      </rPr>
      <t>池州市贵池区秋江圩东埂灌区续建配套与节水改造信息化工程</t>
    </r>
  </si>
  <si>
    <r>
      <rPr>
        <sz val="14.25"/>
        <color rgb="FF333333"/>
        <rFont val="仿宋"/>
        <charset val="134"/>
      </rPr>
      <t>2023年贵池区高标准农田建设项目9标段（墩上街道）</t>
    </r>
  </si>
  <si>
    <r>
      <rPr>
        <sz val="12"/>
        <color rgb="FF000000"/>
        <rFont val="宋体"/>
        <charset val="134"/>
      </rPr>
      <t>东至县2023年度西村、姚山等22座水库除险加固工程四标段</t>
    </r>
  </si>
  <si>
    <r>
      <rPr>
        <sz val="12"/>
        <color rgb="FF000000"/>
        <rFont val="宋体"/>
        <charset val="134"/>
      </rPr>
      <t>东至县2023年度西村、姚山等22座水库除险加固工程一标段</t>
    </r>
  </si>
  <si>
    <r>
      <rPr>
        <sz val="12"/>
        <color rgb="FF000000"/>
        <rFont val="宋体"/>
        <charset val="134"/>
      </rPr>
      <t>东至县2023年度西村、姚山等22座水库除险加固工程三标段</t>
    </r>
  </si>
  <si>
    <r>
      <rPr>
        <sz val="12"/>
        <color rgb="FF000000"/>
        <rFont val="宋体"/>
        <charset val="134"/>
      </rPr>
      <t>东至县2023年度西村、姚山等22座水库除险加固工程二标段</t>
    </r>
  </si>
  <si>
    <r>
      <rPr>
        <sz val="12"/>
        <color rgb="FF000000"/>
        <rFont val="宋体"/>
        <charset val="134"/>
      </rPr>
      <t>东至县2023年度西村、姚山等22座水库除险加固工程五标段</t>
    </r>
  </si>
  <si>
    <r>
      <rPr>
        <sz val="12"/>
        <color rgb="FF333333"/>
        <rFont val="宋体"/>
        <charset val="134"/>
      </rPr>
      <t>贵池区2023年鲍冲水库、双胜水库、乌沙董冲水库除险加固工程</t>
    </r>
  </si>
  <si>
    <r>
      <rPr>
        <sz val="12"/>
        <color rgb="FF333333"/>
        <rFont val="宋体"/>
        <charset val="134"/>
      </rPr>
      <t>贵池区2023年芦冲水库、小麦坑水库、周冲水库除险加固工程</t>
    </r>
  </si>
  <si>
    <r>
      <rPr>
        <sz val="10.5"/>
        <color rgb="FF333333"/>
        <rFont val="宋体"/>
        <charset val="134"/>
      </rPr>
      <t>安徽省元进来龙矿业有限公司棉花形矿区白水泥用石灰岩矿矿山生态修复治理工程</t>
    </r>
  </si>
  <si>
    <r>
      <rPr>
        <sz val="12"/>
        <color rgb="FF000000"/>
        <rFont val="宋体"/>
        <charset val="134"/>
      </rPr>
      <t>东至县老虎岗排灌站电力线路改造项目</t>
    </r>
  </si>
  <si>
    <r>
      <rPr>
        <sz val="10.5"/>
        <color rgb="FF333333"/>
        <rFont val="宋体"/>
        <charset val="134"/>
      </rPr>
      <t>池州华宇电子科技有限公司三期10kV配电外线工程</t>
    </r>
  </si>
  <si>
    <r>
      <rPr>
        <sz val="10.5"/>
        <color rgb="FF333333"/>
        <rFont val="宋体"/>
        <charset val="134"/>
      </rPr>
      <t>池州华宇电子科技有限公司三期10KV配电工程</t>
    </r>
  </si>
  <si>
    <r>
      <rPr>
        <sz val="10.5"/>
        <color rgb="FF333333"/>
        <rFont val="宋体"/>
        <charset val="134"/>
      </rPr>
      <t>棠溪路35KV线路附属起帆二期35KV变电站工程EPC项目</t>
    </r>
  </si>
  <si>
    <r>
      <rPr>
        <sz val="12"/>
        <color rgb="FF000000"/>
        <rFont val="宋体"/>
        <charset val="134"/>
      </rPr>
      <t>安徽池州东至大渡口经开区高湖至工业园区10kV四回线路工程</t>
    </r>
  </si>
  <si>
    <r>
      <rPr>
        <sz val="12"/>
        <color rgb="FF333333"/>
        <rFont val="宋体"/>
        <charset val="134"/>
      </rPr>
      <t>东至县张溪镇正鹏采石场废弃矿山生态环境保护修复治理工程</t>
    </r>
  </si>
  <si>
    <t>青阳县酉华镇Y052延伸工程（金峰路）</t>
  </si>
  <si>
    <t>公路 工程施工总承包</t>
  </si>
  <si>
    <t>新建公路全长 0.942 公里，建设内容：路基、路面、桥梁、涵洞、安全设施、预埋管线、绿化及环境保护设施等</t>
  </si>
</sst>
</file>

<file path=xl/styles.xml><?xml version="1.0" encoding="utf-8"?>
<styleSheet xmlns="http://schemas.openxmlformats.org/spreadsheetml/2006/main" xmlns:xr9="http://schemas.microsoft.com/office/spreadsheetml/2016/revision9">
  <numFmts count="12">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0.00_ "/>
    <numFmt numFmtId="177" formatCode="yyyy/mm/dd\ hh:mm:\0\0"/>
    <numFmt numFmtId="178" formatCode="0.0000_ "/>
    <numFmt numFmtId="179" formatCode="0.000000000_ "/>
    <numFmt numFmtId="180" formatCode="yyyy/m/d\ h:mm;@"/>
    <numFmt numFmtId="181" formatCode="0.0_ "/>
    <numFmt numFmtId="182" formatCode="0.00_);[Red]\(0.00\)"/>
    <numFmt numFmtId="183" formatCode="0.00000_ "/>
  </numFmts>
  <fonts count="81">
    <font>
      <sz val="11"/>
      <color theme="1"/>
      <name val="宋体"/>
      <charset val="134"/>
      <scheme val="minor"/>
    </font>
    <font>
      <sz val="14"/>
      <color rgb="FF333333"/>
      <name val="宋体"/>
      <charset val="134"/>
    </font>
    <font>
      <sz val="10.5"/>
      <color rgb="FF333333"/>
      <name val="宋体"/>
      <charset val="134"/>
    </font>
    <font>
      <sz val="14"/>
      <color theme="1"/>
      <name val="宋体"/>
      <charset val="134"/>
      <scheme val="minor"/>
    </font>
    <font>
      <sz val="11"/>
      <color rgb="FF333333"/>
      <name val="宋体"/>
      <charset val="134"/>
    </font>
    <font>
      <sz val="14.25"/>
      <color rgb="FF333333"/>
      <name val="宋体"/>
      <charset val="134"/>
      <scheme val="minor"/>
    </font>
    <font>
      <b/>
      <u/>
      <sz val="10.5"/>
      <color rgb="FF333333"/>
      <name val="Times New Roman"/>
      <charset val="134"/>
    </font>
    <font>
      <sz val="14.25"/>
      <color rgb="FF333333"/>
      <name val="仿宋"/>
      <charset val="134"/>
    </font>
    <font>
      <sz val="12"/>
      <color rgb="FF000000"/>
      <name val="宋体"/>
      <charset val="134"/>
    </font>
    <font>
      <sz val="12"/>
      <color rgb="FF333333"/>
      <name val="宋体"/>
      <charset val="134"/>
    </font>
    <font>
      <b/>
      <u/>
      <sz val="10.5"/>
      <color rgb="FF333333"/>
      <name val="宋体"/>
      <charset val="134"/>
    </font>
    <font>
      <sz val="9.75"/>
      <color rgb="FF000000"/>
      <name val="宋体"/>
      <charset val="134"/>
    </font>
    <font>
      <sz val="12"/>
      <color rgb="FF333333"/>
      <name val="仿宋"/>
      <charset val="134"/>
    </font>
    <font>
      <b/>
      <sz val="12"/>
      <color rgb="FF333333"/>
      <name val="宋体"/>
      <charset val="134"/>
    </font>
    <font>
      <u/>
      <sz val="12"/>
      <color rgb="FF333333"/>
      <name val="宋体"/>
      <charset val="134"/>
    </font>
    <font>
      <b/>
      <sz val="10.5"/>
      <color rgb="FF333333"/>
      <name val="宋体"/>
      <charset val="134"/>
    </font>
    <font>
      <sz val="11"/>
      <color rgb="FF000000"/>
      <name val="宋体"/>
      <charset val="134"/>
    </font>
    <font>
      <sz val="10.5"/>
      <color rgb="FF000000"/>
      <name val="宋体"/>
      <charset val="134"/>
    </font>
    <font>
      <sz val="14.25"/>
      <color rgb="FF000000"/>
      <name val="仿宋"/>
      <charset val="134"/>
    </font>
    <font>
      <u/>
      <sz val="10.5"/>
      <color rgb="FF000000"/>
      <name val="Arial"/>
      <charset val="134"/>
    </font>
    <font>
      <sz val="11.25"/>
      <color rgb="FF333333"/>
      <name val="宋体"/>
      <charset val="134"/>
    </font>
    <font>
      <u/>
      <sz val="11"/>
      <color rgb="FF800080"/>
      <name val="宋体"/>
      <charset val="0"/>
      <scheme val="minor"/>
    </font>
    <font>
      <u/>
      <sz val="10.5"/>
      <color rgb="FF333333"/>
      <name val="宋体"/>
      <charset val="134"/>
    </font>
    <font>
      <b/>
      <u/>
      <sz val="12"/>
      <color rgb="FF333333"/>
      <name val="宋体"/>
      <charset val="134"/>
    </font>
    <font>
      <u/>
      <sz val="11.25"/>
      <color rgb="FF333333"/>
      <name val="宋体"/>
      <charset val="134"/>
    </font>
    <font>
      <u/>
      <sz val="10.5"/>
      <color rgb="FF000000"/>
      <name val="宋体"/>
      <charset val="134"/>
    </font>
    <font>
      <u/>
      <sz val="14.25"/>
      <color rgb="FF000000"/>
      <name val="仿宋"/>
      <charset val="134"/>
    </font>
    <font>
      <sz val="9.75"/>
      <color rgb="FF333333"/>
      <name val="宋体"/>
      <charset val="134"/>
    </font>
    <font>
      <sz val="12"/>
      <color theme="1"/>
      <name val="宋体"/>
      <charset val="134"/>
      <scheme val="minor"/>
    </font>
    <font>
      <sz val="12"/>
      <color rgb="FF333333"/>
      <name val="宋体"/>
      <charset val="134"/>
      <scheme val="minor"/>
    </font>
    <font>
      <sz val="10.5"/>
      <color rgb="FF333333"/>
      <name val="微软雅黑"/>
      <charset val="134"/>
    </font>
    <font>
      <sz val="10.5"/>
      <color rgb="FF333333"/>
      <name val="宋体"/>
      <charset val="134"/>
      <scheme val="minor"/>
    </font>
    <font>
      <sz val="10.5"/>
      <color rgb="FF000000"/>
      <name val="宋体"/>
      <charset val="134"/>
      <scheme val="minor"/>
    </font>
    <font>
      <u/>
      <sz val="11"/>
      <color rgb="FF0000FF"/>
      <name val="宋体"/>
      <charset val="0"/>
      <scheme val="minor"/>
    </font>
    <font>
      <b/>
      <sz val="10.5"/>
      <color rgb="FF000000"/>
      <name val="宋体"/>
      <charset val="134"/>
    </font>
    <font>
      <sz val="11.25"/>
      <color rgb="FF000000"/>
      <name val="宋体"/>
      <charset val="134"/>
    </font>
    <font>
      <b/>
      <sz val="11.25"/>
      <color rgb="FF333333"/>
      <name val="宋体"/>
      <charset val="134"/>
    </font>
    <font>
      <u/>
      <sz val="14.25"/>
      <color rgb="FF333333"/>
      <name val="仿宋"/>
      <charset val="134"/>
    </font>
    <font>
      <sz val="14"/>
      <color rgb="FF333333"/>
      <name val="宋体"/>
      <charset val="134"/>
      <scheme val="minor"/>
    </font>
    <font>
      <sz val="12"/>
      <color rgb="FF000000"/>
      <name val="宋体"/>
      <charset val="134"/>
      <scheme val="minor"/>
    </font>
    <font>
      <sz val="10.5"/>
      <color rgb="FF000000"/>
      <name val="黑体"/>
      <charset val="134"/>
    </font>
    <font>
      <u/>
      <sz val="10.5"/>
      <color rgb="FF333333"/>
      <name val="宋体"/>
      <charset val="134"/>
      <scheme val="minor"/>
    </font>
    <font>
      <sz val="11.25"/>
      <color rgb="FF000000"/>
      <name val="宋体"/>
      <charset val="134"/>
      <scheme val="minor"/>
    </font>
    <font>
      <sz val="14"/>
      <color theme="1"/>
      <name val="Times New Roman"/>
      <charset val="134"/>
    </font>
    <font>
      <sz val="14"/>
      <color theme="1"/>
      <name val="宋体"/>
      <charset val="134"/>
    </font>
    <font>
      <sz val="14"/>
      <color rgb="FF333333"/>
      <name val="Times New Roman"/>
      <charset val="134"/>
    </font>
    <font>
      <sz val="14"/>
      <color rgb="FF000000"/>
      <name val="Times New Roman"/>
      <charset val="134"/>
    </font>
    <font>
      <sz val="11.25"/>
      <color rgb="FF333333"/>
      <name val="宋体"/>
      <charset val="134"/>
      <scheme val="minor"/>
    </font>
    <font>
      <sz val="14"/>
      <color rgb="FF5C5C5C"/>
      <name val="Times New Roman"/>
      <charset val="134"/>
    </font>
    <font>
      <sz val="14"/>
      <color rgb="FF323232"/>
      <name val="Times New Roman"/>
      <charset val="134"/>
    </font>
    <font>
      <sz val="11"/>
      <color theme="1"/>
      <name val="宋体"/>
      <charset val="134"/>
    </font>
    <font>
      <sz val="14"/>
      <color rgb="FF000000"/>
      <name val="宋体"/>
      <charset val="134"/>
    </font>
    <font>
      <b/>
      <sz val="14"/>
      <color rgb="FF333333"/>
      <name val="宋体"/>
      <charset val="134"/>
    </font>
    <font>
      <u/>
      <sz val="14"/>
      <color rgb="FF000000"/>
      <name val="宋体"/>
      <charset val="134"/>
    </font>
    <font>
      <sz val="10.5"/>
      <color rgb="FF333333"/>
      <name val="Calibri"/>
      <charset val="134"/>
    </font>
    <font>
      <sz val="10.5"/>
      <color rgb="FF000000"/>
      <name val="Arial"/>
      <charset val="134"/>
    </font>
    <font>
      <sz val="12"/>
      <color rgb="FF333333"/>
      <name val="Times New Roman"/>
      <charset val="134"/>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0.5"/>
      <color rgb="FF333333"/>
      <name val="Times New Roman"/>
      <charset val="134"/>
    </font>
    <font>
      <b/>
      <sz val="12"/>
      <color rgb="FF333333"/>
      <name val="Times New Roman"/>
      <charset val="134"/>
    </font>
    <font>
      <vertAlign val="superscript"/>
      <sz val="9"/>
      <color rgb="FF333333"/>
      <name val="宋体"/>
      <charset val="134"/>
    </font>
    <font>
      <u/>
      <sz val="10.5"/>
      <color rgb="FF333333"/>
      <name val="Times New Roman"/>
      <charset val="134"/>
    </font>
    <font>
      <vertAlign val="superscript"/>
      <sz val="10.5"/>
      <color rgb="FF000000"/>
      <name val="宋体"/>
      <charset val="134"/>
    </font>
    <font>
      <vertAlign val="superscript"/>
      <sz val="10.5"/>
      <color rgb="FF333333"/>
      <name val="宋体"/>
      <charset val="134"/>
    </font>
    <font>
      <b/>
      <sz val="15.75"/>
      <color rgb="FF333333"/>
      <name val="Times New Roman"/>
      <charset val="134"/>
    </font>
  </fonts>
  <fills count="36">
    <fill>
      <patternFill patternType="none"/>
    </fill>
    <fill>
      <patternFill patternType="gray125"/>
    </fill>
    <fill>
      <patternFill patternType="solid">
        <fgColor rgb="FFFFFFFF"/>
        <bgColor indexed="64"/>
      </patternFill>
    </fill>
    <fill>
      <patternFill patternType="solid">
        <fgColor rgb="FFFFFF00"/>
        <bgColor indexed="64"/>
      </patternFill>
    </fill>
    <fill>
      <patternFill patternType="solid">
        <fgColor rgb="FF92D05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medium">
        <color auto="1"/>
      </left>
      <right style="medium">
        <color auto="1"/>
      </right>
      <top/>
      <bottom style="medium">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33"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0" fillId="5" borderId="2" applyNumberFormat="0" applyFont="0" applyAlignment="0" applyProtection="0">
      <alignment vertical="center"/>
    </xf>
    <xf numFmtId="0" fontId="57" fillId="0" borderId="0" applyNumberFormat="0" applyFill="0" applyBorder="0" applyAlignment="0" applyProtection="0">
      <alignment vertical="center"/>
    </xf>
    <xf numFmtId="0" fontId="58" fillId="0" borderId="0" applyNumberFormat="0" applyFill="0" applyBorder="0" applyAlignment="0" applyProtection="0">
      <alignment vertical="center"/>
    </xf>
    <xf numFmtId="0" fontId="59" fillId="0" borderId="0" applyNumberFormat="0" applyFill="0" applyBorder="0" applyAlignment="0" applyProtection="0">
      <alignment vertical="center"/>
    </xf>
    <xf numFmtId="0" fontId="60" fillId="0" borderId="3" applyNumberFormat="0" applyFill="0" applyAlignment="0" applyProtection="0">
      <alignment vertical="center"/>
    </xf>
    <xf numFmtId="0" fontId="61" fillId="0" borderId="3" applyNumberFormat="0" applyFill="0" applyAlignment="0" applyProtection="0">
      <alignment vertical="center"/>
    </xf>
    <xf numFmtId="0" fontId="62" fillId="0" borderId="4" applyNumberFormat="0" applyFill="0" applyAlignment="0" applyProtection="0">
      <alignment vertical="center"/>
    </xf>
    <xf numFmtId="0" fontId="62" fillId="0" borderId="0" applyNumberFormat="0" applyFill="0" applyBorder="0" applyAlignment="0" applyProtection="0">
      <alignment vertical="center"/>
    </xf>
    <xf numFmtId="0" fontId="63" fillId="6" borderId="5" applyNumberFormat="0" applyAlignment="0" applyProtection="0">
      <alignment vertical="center"/>
    </xf>
    <xf numFmtId="0" fontId="64" fillId="7" borderId="6" applyNumberFormat="0" applyAlignment="0" applyProtection="0">
      <alignment vertical="center"/>
    </xf>
    <xf numFmtId="0" fontId="65" fillId="7" borderId="5" applyNumberFormat="0" applyAlignment="0" applyProtection="0">
      <alignment vertical="center"/>
    </xf>
    <xf numFmtId="0" fontId="66" fillId="8" borderId="7" applyNumberFormat="0" applyAlignment="0" applyProtection="0">
      <alignment vertical="center"/>
    </xf>
    <xf numFmtId="0" fontId="67" fillId="0" borderId="8" applyNumberFormat="0" applyFill="0" applyAlignment="0" applyProtection="0">
      <alignment vertical="center"/>
    </xf>
    <xf numFmtId="0" fontId="68" fillId="0" borderId="9" applyNumberFormat="0" applyFill="0" applyAlignment="0" applyProtection="0">
      <alignment vertical="center"/>
    </xf>
    <xf numFmtId="0" fontId="69" fillId="9" borderId="0" applyNumberFormat="0" applyBorder="0" applyAlignment="0" applyProtection="0">
      <alignment vertical="center"/>
    </xf>
    <xf numFmtId="0" fontId="70" fillId="10" borderId="0" applyNumberFormat="0" applyBorder="0" applyAlignment="0" applyProtection="0">
      <alignment vertical="center"/>
    </xf>
    <xf numFmtId="0" fontId="71" fillId="11" borderId="0" applyNumberFormat="0" applyBorder="0" applyAlignment="0" applyProtection="0">
      <alignment vertical="center"/>
    </xf>
    <xf numFmtId="0" fontId="72" fillId="12" borderId="0" applyNumberFormat="0" applyBorder="0" applyAlignment="0" applyProtection="0">
      <alignment vertical="center"/>
    </xf>
    <xf numFmtId="0" fontId="73" fillId="13" borderId="0" applyNumberFormat="0" applyBorder="0" applyAlignment="0" applyProtection="0">
      <alignment vertical="center"/>
    </xf>
    <xf numFmtId="0" fontId="73" fillId="14" borderId="0" applyNumberFormat="0" applyBorder="0" applyAlignment="0" applyProtection="0">
      <alignment vertical="center"/>
    </xf>
    <xf numFmtId="0" fontId="72" fillId="15" borderId="0" applyNumberFormat="0" applyBorder="0" applyAlignment="0" applyProtection="0">
      <alignment vertical="center"/>
    </xf>
    <xf numFmtId="0" fontId="72" fillId="16" borderId="0" applyNumberFormat="0" applyBorder="0" applyAlignment="0" applyProtection="0">
      <alignment vertical="center"/>
    </xf>
    <xf numFmtId="0" fontId="73" fillId="17" borderId="0" applyNumberFormat="0" applyBorder="0" applyAlignment="0" applyProtection="0">
      <alignment vertical="center"/>
    </xf>
    <xf numFmtId="0" fontId="73" fillId="18" borderId="0" applyNumberFormat="0" applyBorder="0" applyAlignment="0" applyProtection="0">
      <alignment vertical="center"/>
    </xf>
    <xf numFmtId="0" fontId="72" fillId="19" borderId="0" applyNumberFormat="0" applyBorder="0" applyAlignment="0" applyProtection="0">
      <alignment vertical="center"/>
    </xf>
    <xf numFmtId="0" fontId="72" fillId="20" borderId="0" applyNumberFormat="0" applyBorder="0" applyAlignment="0" applyProtection="0">
      <alignment vertical="center"/>
    </xf>
    <xf numFmtId="0" fontId="73" fillId="21" borderId="0" applyNumberFormat="0" applyBorder="0" applyAlignment="0" applyProtection="0">
      <alignment vertical="center"/>
    </xf>
    <xf numFmtId="0" fontId="73"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0" fontId="73" fillId="25" borderId="0" applyNumberFormat="0" applyBorder="0" applyAlignment="0" applyProtection="0">
      <alignment vertical="center"/>
    </xf>
    <xf numFmtId="0" fontId="73" fillId="26" borderId="0" applyNumberFormat="0" applyBorder="0" applyAlignment="0" applyProtection="0">
      <alignment vertical="center"/>
    </xf>
    <xf numFmtId="0" fontId="72" fillId="27" borderId="0" applyNumberFormat="0" applyBorder="0" applyAlignment="0" applyProtection="0">
      <alignment vertical="center"/>
    </xf>
    <xf numFmtId="0" fontId="72" fillId="28" borderId="0" applyNumberFormat="0" applyBorder="0" applyAlignment="0" applyProtection="0">
      <alignment vertical="center"/>
    </xf>
    <xf numFmtId="0" fontId="73" fillId="29" borderId="0" applyNumberFormat="0" applyBorder="0" applyAlignment="0" applyProtection="0">
      <alignment vertical="center"/>
    </xf>
    <xf numFmtId="0" fontId="73" fillId="30" borderId="0" applyNumberFormat="0" applyBorder="0" applyAlignment="0" applyProtection="0">
      <alignment vertical="center"/>
    </xf>
    <xf numFmtId="0" fontId="72" fillId="31" borderId="0" applyNumberFormat="0" applyBorder="0" applyAlignment="0" applyProtection="0">
      <alignment vertical="center"/>
    </xf>
    <xf numFmtId="0" fontId="72" fillId="32" borderId="0" applyNumberFormat="0" applyBorder="0" applyAlignment="0" applyProtection="0">
      <alignment vertical="center"/>
    </xf>
    <xf numFmtId="0" fontId="73" fillId="33" borderId="0" applyNumberFormat="0" applyBorder="0" applyAlignment="0" applyProtection="0">
      <alignment vertical="center"/>
    </xf>
    <xf numFmtId="0" fontId="73" fillId="34" borderId="0" applyNumberFormat="0" applyBorder="0" applyAlignment="0" applyProtection="0">
      <alignment vertical="center"/>
    </xf>
    <xf numFmtId="0" fontId="72" fillId="35" borderId="0" applyNumberFormat="0" applyBorder="0" applyAlignment="0" applyProtection="0">
      <alignment vertical="center"/>
    </xf>
  </cellStyleXfs>
  <cellXfs count="142">
    <xf numFmtId="0" fontId="0" fillId="0" borderId="0" xfId="0">
      <alignment vertical="center"/>
    </xf>
    <xf numFmtId="0" fontId="0" fillId="0" borderId="0" xfId="0" applyFont="1" applyFill="1">
      <alignment vertical="center"/>
    </xf>
    <xf numFmtId="0" fontId="0" fillId="0" borderId="0" xfId="0" applyFont="1">
      <alignment vertical="center"/>
    </xf>
    <xf numFmtId="0" fontId="1" fillId="0" borderId="0" xfId="0" applyFont="1">
      <alignment vertical="center"/>
    </xf>
    <xf numFmtId="176" fontId="1" fillId="0" borderId="0" xfId="0" applyNumberFormat="1" applyFont="1">
      <alignment vertical="center"/>
    </xf>
    <xf numFmtId="0" fontId="2" fillId="0" borderId="0" xfId="0" applyFont="1">
      <alignment vertical="center"/>
    </xf>
    <xf numFmtId="0" fontId="2" fillId="0" borderId="0" xfId="0" applyFont="1">
      <alignment vertical="center"/>
    </xf>
    <xf numFmtId="177" fontId="1" fillId="0" borderId="0" xfId="0" applyNumberFormat="1" applyFont="1" applyAlignment="1">
      <alignment horizontal="left" vertical="center"/>
    </xf>
    <xf numFmtId="0" fontId="3" fillId="0" borderId="0" xfId="0" applyFont="1">
      <alignment vertical="center"/>
    </xf>
    <xf numFmtId="0" fontId="3" fillId="0" borderId="0" xfId="0" applyFont="1" applyFill="1" applyAlignment="1">
      <alignment vertical="center"/>
    </xf>
    <xf numFmtId="22" fontId="0" fillId="0" borderId="0" xfId="0" applyNumberFormat="1" applyFont="1">
      <alignment vertical="center"/>
    </xf>
    <xf numFmtId="49" fontId="3" fillId="0" borderId="0" xfId="0" applyNumberFormat="1" applyFont="1" applyFill="1" applyAlignment="1">
      <alignment vertical="center"/>
    </xf>
    <xf numFmtId="0" fontId="0" fillId="0" borderId="0" xfId="0" applyFont="1">
      <alignment vertical="center"/>
    </xf>
    <xf numFmtId="0" fontId="0" fillId="0" borderId="0" xfId="0" applyFill="1">
      <alignment vertical="center"/>
    </xf>
    <xf numFmtId="0" fontId="0" fillId="0" borderId="0" xfId="0" applyAlignment="1">
      <alignment horizontal="left" vertical="center"/>
    </xf>
    <xf numFmtId="0" fontId="4" fillId="0" borderId="0" xfId="0" applyFont="1">
      <alignment vertical="center"/>
    </xf>
    <xf numFmtId="0" fontId="5" fillId="0" borderId="0" xfId="0" applyFont="1" applyFill="1" applyAlignment="1">
      <alignment vertical="center"/>
    </xf>
    <xf numFmtId="0" fontId="6" fillId="0" borderId="0" xfId="0" applyFont="1">
      <alignment vertical="center"/>
    </xf>
    <xf numFmtId="0" fontId="7" fillId="0" borderId="0" xfId="0" applyFont="1">
      <alignment vertical="center"/>
    </xf>
    <xf numFmtId="0" fontId="8" fillId="0" borderId="0" xfId="0" applyFont="1">
      <alignment vertical="center"/>
    </xf>
    <xf numFmtId="0" fontId="9" fillId="0" borderId="0" xfId="0" applyFont="1">
      <alignment vertical="center"/>
    </xf>
    <xf numFmtId="0" fontId="8" fillId="2" borderId="1" xfId="0" applyFont="1" applyFill="1" applyBorder="1" applyAlignment="1">
      <alignment horizontal="justify" vertical="center"/>
    </xf>
    <xf numFmtId="0" fontId="10" fillId="0" borderId="0" xfId="0" applyFont="1">
      <alignment vertical="center"/>
    </xf>
    <xf numFmtId="0" fontId="11" fillId="0" borderId="0" xfId="0" applyFont="1">
      <alignment vertical="center"/>
    </xf>
    <xf numFmtId="0" fontId="12" fillId="0" borderId="0" xfId="0" applyFont="1">
      <alignment vertical="center"/>
    </xf>
    <xf numFmtId="0" fontId="13" fillId="0" borderId="0" xfId="0" applyFont="1">
      <alignment vertical="center"/>
    </xf>
    <xf numFmtId="0" fontId="14" fillId="0" borderId="0" xfId="0" applyFont="1">
      <alignment vertical="center"/>
    </xf>
    <xf numFmtId="0" fontId="3" fillId="0" borderId="0" xfId="0" applyFont="1" applyFill="1" applyAlignment="1">
      <alignment horizontal="left" vertical="center"/>
    </xf>
    <xf numFmtId="22" fontId="0" fillId="0" borderId="0" xfId="0" applyNumberFormat="1" applyAlignment="1">
      <alignment horizontal="left" vertical="center"/>
    </xf>
    <xf numFmtId="0" fontId="15" fillId="0" borderId="0" xfId="0" applyFont="1">
      <alignment vertical="center"/>
    </xf>
    <xf numFmtId="0" fontId="16" fillId="0" borderId="0" xfId="0" applyFont="1">
      <alignment vertical="center"/>
    </xf>
    <xf numFmtId="0" fontId="17" fillId="0" borderId="0" xfId="0" applyFont="1">
      <alignment vertical="center"/>
    </xf>
    <xf numFmtId="0" fontId="18" fillId="0" borderId="0" xfId="0" applyFont="1">
      <alignment vertical="center"/>
    </xf>
    <xf numFmtId="0" fontId="19" fillId="0" borderId="0" xfId="0" applyFont="1">
      <alignment vertical="center"/>
    </xf>
    <xf numFmtId="0" fontId="20" fillId="0" borderId="0" xfId="0" applyFont="1">
      <alignment vertical="center"/>
    </xf>
    <xf numFmtId="0" fontId="21" fillId="0" borderId="0" xfId="6" applyFont="1">
      <alignment vertical="center"/>
    </xf>
    <xf numFmtId="0" fontId="22" fillId="0" borderId="0" xfId="0" applyFont="1">
      <alignment vertical="center"/>
    </xf>
    <xf numFmtId="0" fontId="23" fillId="0" borderId="0" xfId="0" applyFont="1">
      <alignment vertical="center"/>
    </xf>
    <xf numFmtId="0" fontId="24" fillId="0" borderId="0" xfId="0" applyFont="1">
      <alignment vertical="center"/>
    </xf>
    <xf numFmtId="0" fontId="25" fillId="0" borderId="0" xfId="0" applyFont="1">
      <alignment vertical="center"/>
    </xf>
    <xf numFmtId="0" fontId="26" fillId="0" borderId="0" xfId="0" applyFont="1">
      <alignment vertical="center"/>
    </xf>
    <xf numFmtId="0" fontId="25" fillId="0" borderId="0" xfId="0" applyFont="1" applyAlignment="1">
      <alignment vertical="center"/>
    </xf>
    <xf numFmtId="0" fontId="27" fillId="0" borderId="0" xfId="0" applyFont="1">
      <alignment vertical="center"/>
    </xf>
    <xf numFmtId="0" fontId="28" fillId="0" borderId="0" xfId="0" applyFont="1" applyFill="1">
      <alignment vertical="center"/>
    </xf>
    <xf numFmtId="0" fontId="0" fillId="3" borderId="0" xfId="0" applyFill="1">
      <alignment vertical="center"/>
    </xf>
    <xf numFmtId="176" fontId="1" fillId="0" borderId="0" xfId="0" applyNumberFormat="1" applyFont="1" applyFill="1">
      <alignment vertical="center"/>
    </xf>
    <xf numFmtId="0" fontId="1" fillId="0" borderId="0" xfId="0" applyFont="1" applyFill="1">
      <alignment vertical="center"/>
    </xf>
    <xf numFmtId="22" fontId="1" fillId="0" borderId="0" xfId="0" applyNumberFormat="1" applyFont="1" applyFill="1" applyAlignment="1">
      <alignment horizontal="left" vertical="center"/>
    </xf>
    <xf numFmtId="0" fontId="29" fillId="0" borderId="0" xfId="0" applyFont="1" applyFill="1">
      <alignment vertical="center"/>
    </xf>
    <xf numFmtId="0" fontId="9" fillId="0" borderId="0" xfId="0" applyFont="1" applyFill="1">
      <alignment vertical="center"/>
    </xf>
    <xf numFmtId="0" fontId="28" fillId="0" borderId="0" xfId="0" applyFont="1" applyFill="1" applyAlignment="1">
      <alignment vertical="center"/>
    </xf>
    <xf numFmtId="0" fontId="29" fillId="0" borderId="0" xfId="0" applyFont="1" applyFill="1" applyAlignment="1">
      <alignment vertical="center"/>
    </xf>
    <xf numFmtId="0" fontId="2" fillId="0" borderId="0" xfId="0" applyFont="1" applyFill="1">
      <alignment vertical="center"/>
    </xf>
    <xf numFmtId="0" fontId="20" fillId="0" borderId="0" xfId="0" applyFont="1" applyFill="1">
      <alignment vertical="center"/>
    </xf>
    <xf numFmtId="0" fontId="30" fillId="0" borderId="0" xfId="0" applyFont="1" applyFill="1">
      <alignment vertical="center"/>
    </xf>
    <xf numFmtId="0" fontId="17" fillId="0" borderId="0" xfId="0" applyFont="1" applyFill="1">
      <alignment vertical="center"/>
    </xf>
    <xf numFmtId="0" fontId="15" fillId="0" borderId="0" xfId="0" applyFont="1" applyFill="1">
      <alignment vertical="center"/>
    </xf>
    <xf numFmtId="0" fontId="13" fillId="0" borderId="0" xfId="0" applyFont="1" applyFill="1">
      <alignment vertical="center"/>
    </xf>
    <xf numFmtId="22" fontId="9" fillId="0" borderId="0" xfId="0" applyNumberFormat="1" applyFont="1" applyFill="1" applyAlignment="1">
      <alignment horizontal="left" vertical="center"/>
    </xf>
    <xf numFmtId="178" fontId="1" fillId="0" borderId="0" xfId="0" applyNumberFormat="1" applyFont="1" applyFill="1">
      <alignment vertical="center"/>
    </xf>
    <xf numFmtId="0" fontId="31" fillId="0" borderId="0" xfId="0" applyFont="1" applyFill="1">
      <alignment vertical="center"/>
    </xf>
    <xf numFmtId="0" fontId="21" fillId="0" borderId="0" xfId="6" applyFont="1" applyFill="1">
      <alignment vertical="center"/>
    </xf>
    <xf numFmtId="0" fontId="32" fillId="0" borderId="0" xfId="0" applyFont="1" applyFill="1">
      <alignment vertical="center"/>
    </xf>
    <xf numFmtId="4" fontId="1" fillId="0" borderId="0" xfId="0" applyNumberFormat="1" applyFont="1" applyFill="1">
      <alignment vertical="center"/>
    </xf>
    <xf numFmtId="0" fontId="33" fillId="0" borderId="0" xfId="6" applyFill="1">
      <alignment vertical="center"/>
    </xf>
    <xf numFmtId="0" fontId="7" fillId="0" borderId="0" xfId="0" applyFont="1" applyFill="1">
      <alignment vertical="center"/>
    </xf>
    <xf numFmtId="49" fontId="0" fillId="0" borderId="0" xfId="0" applyNumberFormat="1" applyFill="1">
      <alignment vertical="center"/>
    </xf>
    <xf numFmtId="0" fontId="22" fillId="0" borderId="0" xfId="0" applyFont="1" applyFill="1">
      <alignment vertical="center"/>
    </xf>
    <xf numFmtId="0" fontId="14" fillId="0" borderId="0" xfId="0" applyFont="1" applyFill="1">
      <alignment vertical="center"/>
    </xf>
    <xf numFmtId="0" fontId="34" fillId="0" borderId="0" xfId="0" applyFont="1" applyFill="1">
      <alignment vertical="center"/>
    </xf>
    <xf numFmtId="0" fontId="7" fillId="3" borderId="0" xfId="0" applyFont="1" applyFill="1">
      <alignment vertical="center"/>
    </xf>
    <xf numFmtId="176" fontId="1" fillId="3" borderId="0" xfId="0" applyNumberFormat="1" applyFont="1" applyFill="1">
      <alignment vertical="center"/>
    </xf>
    <xf numFmtId="0" fontId="1" fillId="3" borderId="0" xfId="0" applyFont="1" applyFill="1">
      <alignment vertical="center"/>
    </xf>
    <xf numFmtId="0" fontId="35" fillId="0" borderId="0" xfId="0" applyFont="1" applyFill="1">
      <alignment vertical="center"/>
    </xf>
    <xf numFmtId="179" fontId="1" fillId="0" borderId="0" xfId="0" applyNumberFormat="1" applyFont="1" applyFill="1">
      <alignment vertical="center"/>
    </xf>
    <xf numFmtId="22" fontId="1" fillId="3" borderId="0" xfId="0" applyNumberFormat="1" applyFont="1" applyFill="1" applyAlignment="1">
      <alignment horizontal="left" vertical="center"/>
    </xf>
    <xf numFmtId="0" fontId="9" fillId="3" borderId="0" xfId="0" applyFont="1" applyFill="1">
      <alignment vertical="center"/>
    </xf>
    <xf numFmtId="0" fontId="36" fillId="0" borderId="0" xfId="0" applyFont="1" applyFill="1">
      <alignment vertical="center"/>
    </xf>
    <xf numFmtId="0" fontId="37" fillId="0" borderId="0" xfId="0" applyFont="1" applyFill="1">
      <alignment vertical="center"/>
    </xf>
    <xf numFmtId="0" fontId="9" fillId="0" borderId="0" xfId="0" applyFont="1" applyAlignment="1">
      <alignment vertical="center" wrapText="1"/>
    </xf>
    <xf numFmtId="176" fontId="5" fillId="0" borderId="0" xfId="0" applyNumberFormat="1" applyFont="1" applyFill="1" applyAlignment="1">
      <alignment vertical="center"/>
    </xf>
    <xf numFmtId="0" fontId="38" fillId="0" borderId="0" xfId="0" applyFont="1" applyFill="1" applyAlignment="1">
      <alignment vertical="center"/>
    </xf>
    <xf numFmtId="0" fontId="31" fillId="0" borderId="0" xfId="0" applyFont="1">
      <alignment vertical="center"/>
    </xf>
    <xf numFmtId="0" fontId="31" fillId="0" borderId="0" xfId="0" applyFont="1" applyFill="1" applyAlignment="1">
      <alignment vertical="center"/>
    </xf>
    <xf numFmtId="0" fontId="2" fillId="0" borderId="0" xfId="0" applyFont="1" applyFill="1" applyAlignment="1">
      <alignment vertical="center"/>
    </xf>
    <xf numFmtId="0" fontId="39" fillId="0" borderId="0" xfId="0" applyFont="1">
      <alignment vertical="center"/>
    </xf>
    <xf numFmtId="0" fontId="29" fillId="0" borderId="0" xfId="0" applyFont="1">
      <alignment vertical="center"/>
    </xf>
    <xf numFmtId="0" fontId="32" fillId="0" borderId="0" xfId="0" applyFont="1">
      <alignment vertical="center"/>
    </xf>
    <xf numFmtId="0" fontId="40" fillId="0" borderId="0" xfId="0" applyFont="1">
      <alignment vertical="center"/>
    </xf>
    <xf numFmtId="180" fontId="29" fillId="0" borderId="0" xfId="0" applyNumberFormat="1" applyFont="1">
      <alignment vertical="center"/>
    </xf>
    <xf numFmtId="181" fontId="0" fillId="0" borderId="0" xfId="0" applyNumberFormat="1">
      <alignment vertical="center"/>
    </xf>
    <xf numFmtId="0" fontId="0" fillId="0" borderId="0" xfId="0" applyFont="1" applyFill="1" applyAlignment="1">
      <alignment vertical="center"/>
    </xf>
    <xf numFmtId="0" fontId="41" fillId="0" borderId="0" xfId="0" applyFont="1">
      <alignment vertical="center"/>
    </xf>
    <xf numFmtId="0" fontId="42" fillId="0" borderId="0" xfId="0" applyFont="1">
      <alignment vertical="center"/>
    </xf>
    <xf numFmtId="0" fontId="43" fillId="0" borderId="0" xfId="0" applyFont="1" applyAlignment="1">
      <alignment horizontal="left" vertical="center"/>
    </xf>
    <xf numFmtId="176" fontId="43" fillId="0" borderId="0" xfId="0" applyNumberFormat="1" applyFont="1" applyFill="1" applyAlignment="1">
      <alignment horizontal="left" vertical="center"/>
    </xf>
    <xf numFmtId="0" fontId="43" fillId="0" borderId="0" xfId="0" applyFont="1" applyFill="1" applyAlignment="1">
      <alignment horizontal="left" vertical="center"/>
    </xf>
    <xf numFmtId="0" fontId="44" fillId="0" borderId="0" xfId="0" applyFont="1" applyFill="1" applyAlignment="1">
      <alignment horizontal="left" vertical="center"/>
    </xf>
    <xf numFmtId="0" fontId="45" fillId="0" borderId="0" xfId="0" applyFont="1" applyAlignment="1">
      <alignment horizontal="left" vertical="center"/>
    </xf>
    <xf numFmtId="182" fontId="43" fillId="0" borderId="0" xfId="0" applyNumberFormat="1" applyFont="1" applyAlignment="1">
      <alignment horizontal="left" vertical="center"/>
    </xf>
    <xf numFmtId="0" fontId="46" fillId="0" borderId="0" xfId="0" applyFont="1" applyAlignment="1">
      <alignment horizontal="left" vertical="center"/>
    </xf>
    <xf numFmtId="0" fontId="47" fillId="0" borderId="0" xfId="0" applyFont="1">
      <alignment vertical="center"/>
    </xf>
    <xf numFmtId="176" fontId="45" fillId="0" borderId="0" xfId="0" applyNumberFormat="1" applyFont="1" applyAlignment="1">
      <alignment horizontal="left" vertical="center"/>
    </xf>
    <xf numFmtId="0" fontId="48" fillId="0" borderId="0" xfId="0" applyFont="1" applyAlignment="1">
      <alignment horizontal="left" vertical="center"/>
    </xf>
    <xf numFmtId="0" fontId="39" fillId="0" borderId="0" xfId="0" applyFont="1" applyAlignment="1">
      <alignment vertical="center" wrapText="1"/>
    </xf>
    <xf numFmtId="0" fontId="49" fillId="0" borderId="0" xfId="0" applyFont="1" applyAlignment="1">
      <alignment horizontal="left" vertical="center"/>
    </xf>
    <xf numFmtId="0" fontId="32" fillId="0" borderId="0" xfId="0" applyFont="1" applyAlignment="1">
      <alignment vertical="center" wrapText="1"/>
    </xf>
    <xf numFmtId="0" fontId="46" fillId="0" borderId="0" xfId="0" applyFont="1" applyFill="1" applyAlignment="1">
      <alignment horizontal="left" vertical="center"/>
    </xf>
    <xf numFmtId="0" fontId="17" fillId="0" borderId="0" xfId="0" applyFont="1" applyAlignment="1">
      <alignment vertical="center" wrapText="1"/>
    </xf>
    <xf numFmtId="0" fontId="17" fillId="0" borderId="0" xfId="0" applyFont="1" applyAlignment="1">
      <alignment horizontal="justify" vertical="center" wrapText="1"/>
    </xf>
    <xf numFmtId="22" fontId="29" fillId="0" borderId="0" xfId="0" applyNumberFormat="1" applyFont="1">
      <alignment vertical="center"/>
    </xf>
    <xf numFmtId="0" fontId="50" fillId="0" borderId="0" xfId="0" applyFont="1">
      <alignment vertical="center"/>
    </xf>
    <xf numFmtId="0" fontId="50" fillId="0" borderId="0" xfId="0" applyFont="1" applyFill="1">
      <alignment vertical="center"/>
    </xf>
    <xf numFmtId="22" fontId="28" fillId="0" borderId="0" xfId="0" applyNumberFormat="1" applyFont="1">
      <alignment vertical="center"/>
    </xf>
    <xf numFmtId="22" fontId="39" fillId="0" borderId="0" xfId="0" applyNumberFormat="1" applyFont="1">
      <alignment vertical="center"/>
    </xf>
    <xf numFmtId="0" fontId="2" fillId="0" borderId="0" xfId="0" applyFont="1" applyAlignment="1">
      <alignment vertical="center" wrapText="1"/>
    </xf>
    <xf numFmtId="0" fontId="0" fillId="0" borderId="0" xfId="0" applyAlignment="1">
      <alignment vertical="center" wrapText="1"/>
    </xf>
    <xf numFmtId="0" fontId="51" fillId="0" borderId="0" xfId="0" applyFont="1">
      <alignment vertical="center"/>
    </xf>
    <xf numFmtId="0" fontId="52" fillId="0" borderId="0" xfId="0" applyFont="1">
      <alignment vertical="center"/>
    </xf>
    <xf numFmtId="0" fontId="0" fillId="4" borderId="0" xfId="0" applyFill="1">
      <alignment vertical="center"/>
    </xf>
    <xf numFmtId="49" fontId="0" fillId="0" borderId="0" xfId="0" applyNumberFormat="1">
      <alignment vertical="center"/>
    </xf>
    <xf numFmtId="0" fontId="21" fillId="4" borderId="0" xfId="6" applyFont="1" applyFill="1">
      <alignment vertical="center"/>
    </xf>
    <xf numFmtId="0" fontId="33" fillId="0" borderId="0" xfId="6">
      <alignment vertical="center"/>
    </xf>
    <xf numFmtId="181" fontId="0" fillId="0" borderId="0" xfId="0" applyNumberFormat="1" applyFill="1">
      <alignment vertical="center"/>
    </xf>
    <xf numFmtId="0" fontId="34" fillId="0" borderId="0" xfId="0" applyFont="1">
      <alignment vertical="center"/>
    </xf>
    <xf numFmtId="0" fontId="41" fillId="0" borderId="0" xfId="0" applyFont="1" applyFill="1">
      <alignment vertical="center"/>
    </xf>
    <xf numFmtId="0" fontId="36" fillId="0" borderId="0" xfId="0" applyFont="1">
      <alignment vertical="center"/>
    </xf>
    <xf numFmtId="0" fontId="37" fillId="0" borderId="0" xfId="0" applyFont="1">
      <alignment vertical="center"/>
    </xf>
    <xf numFmtId="0" fontId="53" fillId="0" borderId="0" xfId="0" applyFont="1">
      <alignment vertical="center"/>
    </xf>
    <xf numFmtId="176" fontId="1" fillId="0" borderId="0" xfId="0" applyNumberFormat="1" applyFont="1" applyFill="1">
      <alignment vertical="center"/>
    </xf>
    <xf numFmtId="0" fontId="11" fillId="0" borderId="0" xfId="0" applyFont="1" applyFill="1">
      <alignment vertical="center"/>
    </xf>
    <xf numFmtId="0" fontId="17" fillId="0" borderId="0" xfId="0" applyFont="1" applyAlignment="1">
      <alignment vertical="center" wrapText="1"/>
    </xf>
    <xf numFmtId="0" fontId="10" fillId="0" borderId="0" xfId="0" applyFont="1">
      <alignment vertical="center"/>
    </xf>
    <xf numFmtId="0" fontId="9" fillId="0" borderId="0" xfId="0" applyFont="1">
      <alignment vertical="center"/>
    </xf>
    <xf numFmtId="0" fontId="2" fillId="0" borderId="0" xfId="0" applyFont="1">
      <alignment vertical="center"/>
    </xf>
    <xf numFmtId="0" fontId="54" fillId="0" borderId="0" xfId="0" applyFont="1">
      <alignment vertical="center"/>
    </xf>
    <xf numFmtId="0" fontId="55" fillId="0" borderId="0" xfId="0" applyFont="1">
      <alignment vertical="center"/>
    </xf>
    <xf numFmtId="0" fontId="17" fillId="0" borderId="0" xfId="0" applyFont="1">
      <alignment vertical="center"/>
    </xf>
    <xf numFmtId="0" fontId="30" fillId="0" borderId="0" xfId="0" applyFont="1">
      <alignment vertical="center"/>
    </xf>
    <xf numFmtId="0" fontId="56" fillId="0" borderId="0" xfId="0" applyFont="1">
      <alignment vertical="center"/>
    </xf>
    <xf numFmtId="0" fontId="20" fillId="0" borderId="0" xfId="0" applyFont="1">
      <alignment vertical="center"/>
    </xf>
    <xf numFmtId="183" fontId="1" fillId="0" borderId="0" xfId="0" applyNumberFormat="1" applyFo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theme" Target="theme/theme1.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1" Type="http://www.wps.cn/officeDocument/2020/cellImage" Target="cellimages.xml"/><Relationship Id="rId10" Type="http://schemas.openxmlformats.org/officeDocument/2006/relationships/sharedStrings" Target="sharedStrings.xml"/><Relationship Id="rId1" Type="http://schemas.openxmlformats.org/officeDocument/2006/relationships/worksheet" Target="worksheets/sheet1.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99" Type="http://schemas.openxmlformats.org/officeDocument/2006/relationships/hyperlink" Target="https://ggj.chizhou.gov.cn/front/bidcontent/9005001004/543d3d209dc6486694802dc0b3a8b5ec" TargetMode="External"/><Relationship Id="rId98" Type="http://schemas.openxmlformats.org/officeDocument/2006/relationships/hyperlink" Target="https://ggj.chizhou.gov.cn/front/bidcontent/9005001004/f978278fe8ba435abaf65564c0756ff2" TargetMode="External"/><Relationship Id="rId97" Type="http://schemas.openxmlformats.org/officeDocument/2006/relationships/hyperlink" Target="https://ggj.chizhou.gov.cn/front/bidcontent/9005001004/6ba6d9d3b3c94015b99b151db6648f49" TargetMode="External"/><Relationship Id="rId96" Type="http://schemas.openxmlformats.org/officeDocument/2006/relationships/hyperlink" Target="https://ggj.chizhou.gov.cn/front/bidcontent/9005001004/a5c5ccdabbc64165a8be42bd12dc8445" TargetMode="External"/><Relationship Id="rId95" Type="http://schemas.openxmlformats.org/officeDocument/2006/relationships/hyperlink" Target="https://ggj.chizhou.gov.cn/front/bidcontent/9005001004/b0dabebc056f49989668e6798b972bb5" TargetMode="External"/><Relationship Id="rId94" Type="http://schemas.openxmlformats.org/officeDocument/2006/relationships/hyperlink" Target="https://ggj.chizhou.gov.cn/front/bidcontent/9005001004/7fa7634ec28348ee8ae6be172548ffde" TargetMode="External"/><Relationship Id="rId93" Type="http://schemas.openxmlformats.org/officeDocument/2006/relationships/hyperlink" Target="https://ggj.chizhou.gov.cn/front/bidcontent/9005001004/29c1f83605a0425f8161b5f22dfb0e77" TargetMode="External"/><Relationship Id="rId92" Type="http://schemas.openxmlformats.org/officeDocument/2006/relationships/hyperlink" Target="https://ggj.chizhou.gov.cn/front/bidcontent/9005001004/b52748ebf6dc453187e408424974b9b0" TargetMode="External"/><Relationship Id="rId91" Type="http://schemas.openxmlformats.org/officeDocument/2006/relationships/hyperlink" Target="https://ggj.chizhou.gov.cn/front/bidcontent/9005001004/abecd74c6e574474a75b972ff7515253" TargetMode="External"/><Relationship Id="rId90" Type="http://schemas.openxmlformats.org/officeDocument/2006/relationships/hyperlink" Target="https://ggj.chizhou.gov.cn/front/bidcontent/9005001004/e5fe54f0749042ef8d178ef9c3c14029" TargetMode="External"/><Relationship Id="rId9" Type="http://schemas.openxmlformats.org/officeDocument/2006/relationships/hyperlink" Target="https://ggj.chizhou.gov.cn/front/bidcontent/9005001004/866d6c15d7bd4e20a03037752370442a" TargetMode="External"/><Relationship Id="rId89" Type="http://schemas.openxmlformats.org/officeDocument/2006/relationships/hyperlink" Target="https://ggj.chizhou.gov.cn/front/bidcontent/9005001004/ee37470372254ffda98f6b4c9cad590e" TargetMode="External"/><Relationship Id="rId88" Type="http://schemas.openxmlformats.org/officeDocument/2006/relationships/hyperlink" Target="https://ggj.chizhou.gov.cn/front/bidcontent/9005001004/f9ac9aa7143a485cb950fac0b1cc7f3a" TargetMode="External"/><Relationship Id="rId87" Type="http://schemas.openxmlformats.org/officeDocument/2006/relationships/hyperlink" Target="https://ggj.chizhou.gov.cn/front/bidcontent/9005001004/73f908b482bf4f45a8076914a69c05e1" TargetMode="External"/><Relationship Id="rId86" Type="http://schemas.openxmlformats.org/officeDocument/2006/relationships/hyperlink" Target="https://ggj.chizhou.gov.cn/front/bidcontent/9005001004/68301d3174394a29b1b6dfcf1ea9b563" TargetMode="External"/><Relationship Id="rId85" Type="http://schemas.openxmlformats.org/officeDocument/2006/relationships/hyperlink" Target="https://ggj.chizhou.gov.cn/front/bidcontent/9005001004/9340a2477d28403eaaba745d51063ce9" TargetMode="External"/><Relationship Id="rId84" Type="http://schemas.openxmlformats.org/officeDocument/2006/relationships/hyperlink" Target="https://ggj.chizhou.gov.cn/front/bidcontent/9005001004/2fe5ded1189a43158a3be80840287b3c" TargetMode="External"/><Relationship Id="rId83" Type="http://schemas.openxmlformats.org/officeDocument/2006/relationships/hyperlink" Target="https://ggj.chizhou.gov.cn/front/bidcontent/9005001004/1d872d99e8474719a72c72ccf627dcd2" TargetMode="External"/><Relationship Id="rId82" Type="http://schemas.openxmlformats.org/officeDocument/2006/relationships/hyperlink" Target="https://ggj.chizhou.gov.cn/front/bidcontent/9005001004/d35fa9eb07ac4134832ea8e94833b01e" TargetMode="External"/><Relationship Id="rId81" Type="http://schemas.openxmlformats.org/officeDocument/2006/relationships/hyperlink" Target="https://ggj.chizhou.gov.cn/front/bidcontent/9005001004/686e7d3f75144395813cb5d29b5b4e12" TargetMode="External"/><Relationship Id="rId80" Type="http://schemas.openxmlformats.org/officeDocument/2006/relationships/hyperlink" Target="https://ggj.chizhou.gov.cn/front/bidcontent/9005001004/8d2e8cdb392a4cab871af92b68ef98b1" TargetMode="External"/><Relationship Id="rId8" Type="http://schemas.openxmlformats.org/officeDocument/2006/relationships/hyperlink" Target="https://ggj.chizhou.gov.cn/front/bidcontent/9005001004/cc231260ec9a4651b9152c1e3846e449" TargetMode="External"/><Relationship Id="rId79" Type="http://schemas.openxmlformats.org/officeDocument/2006/relationships/hyperlink" Target="https://ggj.chizhou.gov.cn/front/bidcontent/9005001004/050487e6cfb845f2a38d5748fe340453" TargetMode="External"/><Relationship Id="rId78" Type="http://schemas.openxmlformats.org/officeDocument/2006/relationships/hyperlink" Target="https://ggj.chizhou.gov.cn/front/bidcontent/9005001004/ddfef1b93e724a329bb8b7fe9ba18ad1" TargetMode="External"/><Relationship Id="rId77" Type="http://schemas.openxmlformats.org/officeDocument/2006/relationships/hyperlink" Target="https://ggj.chizhou.gov.cn/front/bidcontent/9005001004/6fa07b28bf514d05aa9cb9b0024755df" TargetMode="External"/><Relationship Id="rId76" Type="http://schemas.openxmlformats.org/officeDocument/2006/relationships/hyperlink" Target="https://ggj.chizhou.gov.cn/front/bidcontent/9005001004/0605163ca36f4c639bd1f4bba6347b33" TargetMode="External"/><Relationship Id="rId75" Type="http://schemas.openxmlformats.org/officeDocument/2006/relationships/hyperlink" Target="https://ggj.chizhou.gov.cn/front/bidcontent/9005001004/f3063364cf4543a79966aa3d75a3c08b" TargetMode="External"/><Relationship Id="rId74" Type="http://schemas.openxmlformats.org/officeDocument/2006/relationships/hyperlink" Target="https://ggj.chizhou.gov.cn/front/bidcontent/9005001004/f54ce8ecd0874b92ac6a49b26c640ca9" TargetMode="External"/><Relationship Id="rId73" Type="http://schemas.openxmlformats.org/officeDocument/2006/relationships/hyperlink" Target="https://ggj.chizhou.gov.cn/front/bidcontent/9005001004/2367365576684e49ba957a40e717b6fb" TargetMode="External"/><Relationship Id="rId72" Type="http://schemas.openxmlformats.org/officeDocument/2006/relationships/hyperlink" Target="https://ggj.chizhou.gov.cn/front/bidcontent/9005001004/9f838105932d4657b83f6815949376ae" TargetMode="External"/><Relationship Id="rId71" Type="http://schemas.openxmlformats.org/officeDocument/2006/relationships/hyperlink" Target="https://ggj.chizhou.gov.cn/front/bidcontent/9005001004/1b73ea3e16234af8aa54e4cee4bd33c2" TargetMode="External"/><Relationship Id="rId70" Type="http://schemas.openxmlformats.org/officeDocument/2006/relationships/hyperlink" Target="https://ggj.chizhou.gov.cn/front/bidcontent/9005001004/b6e6b3fab6a548bda57773b03918dc6d" TargetMode="External"/><Relationship Id="rId7" Type="http://schemas.openxmlformats.org/officeDocument/2006/relationships/hyperlink" Target="https://ggj.chizhou.gov.cn/front/bidcontent/9005001004/a74fb539ab8e46c983efd8e1081782a0" TargetMode="External"/><Relationship Id="rId69" Type="http://schemas.openxmlformats.org/officeDocument/2006/relationships/hyperlink" Target="https://ggj.chizhou.gov.cn/front/bidcontent/9005001004/d30282a1bc934ac5bf453184309aa9cc" TargetMode="External"/><Relationship Id="rId68" Type="http://schemas.openxmlformats.org/officeDocument/2006/relationships/hyperlink" Target="https://ggj.chizhou.gov.cn/front/bidcontent/9005001004/73dca2d371d14bcf981b3886c30d9511" TargetMode="External"/><Relationship Id="rId67" Type="http://schemas.openxmlformats.org/officeDocument/2006/relationships/hyperlink" Target="https://ggj.chizhou.gov.cn/front/bidcontent/9005001004/aa44cceba2784cd79cefc04dfe6fdcf0" TargetMode="External"/><Relationship Id="rId66" Type="http://schemas.openxmlformats.org/officeDocument/2006/relationships/hyperlink" Target="https://ggj.chizhou.gov.cn/front/bidcontent/9005001004/a08c82520bdb4b5381aaf2b19fc84418" TargetMode="External"/><Relationship Id="rId65" Type="http://schemas.openxmlformats.org/officeDocument/2006/relationships/hyperlink" Target="https://ggj.chizhou.gov.cn/front/bidcontent/9005001004/7008edc535754ec4aed1c3cac80bd7ac" TargetMode="External"/><Relationship Id="rId64" Type="http://schemas.openxmlformats.org/officeDocument/2006/relationships/hyperlink" Target="https://ggj.chizhou.gov.cn/front/bidcontent/9005001004/2f58e806f0f0424d83497c5400a694ed" TargetMode="External"/><Relationship Id="rId63" Type="http://schemas.openxmlformats.org/officeDocument/2006/relationships/hyperlink" Target="https://ggj.chizhou.gov.cn/front/bidcontent/9005001004/0504e778e6114b86a4399e397eae989e" TargetMode="External"/><Relationship Id="rId62" Type="http://schemas.openxmlformats.org/officeDocument/2006/relationships/hyperlink" Target="https://ggj.chizhou.gov.cn/front/bidcontent/9005001004/088faf6b90424a4594d632998e9fe3d5" TargetMode="External"/><Relationship Id="rId61" Type="http://schemas.openxmlformats.org/officeDocument/2006/relationships/hyperlink" Target="https://ggj.chizhou.gov.cn/front/bidcontent/9005001004/be105ab4080a450fa054e4dd747ed14d" TargetMode="External"/><Relationship Id="rId60" Type="http://schemas.openxmlformats.org/officeDocument/2006/relationships/hyperlink" Target="https://ggj.chizhou.gov.cn/front/bidcontent/9005001004/65953e9aec914812b46c97454b361c7d" TargetMode="External"/><Relationship Id="rId6" Type="http://schemas.openxmlformats.org/officeDocument/2006/relationships/hyperlink" Target="https://ggj.chizhou.gov.cn/front/bidcontent/9005001004/da86ab0707a64463a8777fc60c4c8107" TargetMode="External"/><Relationship Id="rId59" Type="http://schemas.openxmlformats.org/officeDocument/2006/relationships/hyperlink" Target="https://ggj.chizhou.gov.cn/front/bidcontent/9005001004/1b0e64b4a12d444f955b57648bc8311e" TargetMode="External"/><Relationship Id="rId58" Type="http://schemas.openxmlformats.org/officeDocument/2006/relationships/hyperlink" Target="https://ggj.chizhou.gov.cn/front/bidcontent/9005001004/d16188105f7740a2aa2c070a10c762da" TargetMode="External"/><Relationship Id="rId57" Type="http://schemas.openxmlformats.org/officeDocument/2006/relationships/hyperlink" Target="https://ggj.chizhou.gov.cn/front/bidcontent/9005001004/46643cdaa14249e6b6951856db9cb92c" TargetMode="External"/><Relationship Id="rId56" Type="http://schemas.openxmlformats.org/officeDocument/2006/relationships/hyperlink" Target="https://ggj.chizhou.gov.cn/front/bidcontent/9005001004/0260929f7ebf4787b85a88bd031237f6" TargetMode="External"/><Relationship Id="rId55" Type="http://schemas.openxmlformats.org/officeDocument/2006/relationships/hyperlink" Target="https://ggj.chizhou.gov.cn/front/bidcontent/9005001004/712d09b120c545d88907559da51085fd" TargetMode="External"/><Relationship Id="rId54" Type="http://schemas.openxmlformats.org/officeDocument/2006/relationships/hyperlink" Target="https://ggj.chizhou.gov.cn/front/bidcontent/9005001004/b9ed18da1a2141caad9a1e96c88f84ca" TargetMode="External"/><Relationship Id="rId53" Type="http://schemas.openxmlformats.org/officeDocument/2006/relationships/hyperlink" Target="https://ggj.chizhou.gov.cn/front/bidcontent/9005001004/25ce3a3ceb3048afbdb3f57057eea4d6" TargetMode="External"/><Relationship Id="rId52" Type="http://schemas.openxmlformats.org/officeDocument/2006/relationships/hyperlink" Target="https://ggj.chizhou.gov.cn/front/bidcontent/9005001004/bc3baa4137944a3c893e4ce64279ec3c" TargetMode="External"/><Relationship Id="rId51" Type="http://schemas.openxmlformats.org/officeDocument/2006/relationships/hyperlink" Target="https://ggj.chizhou.gov.cn/front/bidcontent/9005001004/4a7f9da16b4d49ef861249b18045c156" TargetMode="External"/><Relationship Id="rId50" Type="http://schemas.openxmlformats.org/officeDocument/2006/relationships/hyperlink" Target="https://ggj.chizhou.gov.cn/front/bidcontent/9005001004/139ffde044874caf8d4811f8aaf30ba8" TargetMode="External"/><Relationship Id="rId5" Type="http://schemas.openxmlformats.org/officeDocument/2006/relationships/hyperlink" Target="https://ggj.chizhou.gov.cn/front/bidcontent/9005001004/a78c6f6e2e0c41ddb54da8935e9f9332" TargetMode="External"/><Relationship Id="rId49" Type="http://schemas.openxmlformats.org/officeDocument/2006/relationships/hyperlink" Target="https://ggj.chizhou.gov.cn/front/bidcontent/9005001004/142f2d5ea17047b48a819f8c62eaa9da" TargetMode="External"/><Relationship Id="rId48" Type="http://schemas.openxmlformats.org/officeDocument/2006/relationships/hyperlink" Target="https://ggj.chizhou.gov.cn/front/bidcontent/9005001004/f9cd002055084485b02b703b75e9137c" TargetMode="External"/><Relationship Id="rId47" Type="http://schemas.openxmlformats.org/officeDocument/2006/relationships/hyperlink" Target="https://ggj.chizhou.gov.cn/front/bidcontent/9005001004/030e3fe1d863484da8df1f924627cec6" TargetMode="External"/><Relationship Id="rId46" Type="http://schemas.openxmlformats.org/officeDocument/2006/relationships/hyperlink" Target="https://ggj.chizhou.gov.cn/front/bidcontent/9005001004/baae982084b9440b910b086993caa5b0" TargetMode="External"/><Relationship Id="rId45" Type="http://schemas.openxmlformats.org/officeDocument/2006/relationships/hyperlink" Target="https://ggj.chizhou.gov.cn/front/bidcontent/9005001004/d6ff53d4d55d4c0cb85f526692729752" TargetMode="External"/><Relationship Id="rId44" Type="http://schemas.openxmlformats.org/officeDocument/2006/relationships/hyperlink" Target="https://ggj.chizhou.gov.cn/front/bidcontent/9005001004/d67ac7a6df8e4e78924ebc556acfcac0" TargetMode="External"/><Relationship Id="rId43" Type="http://schemas.openxmlformats.org/officeDocument/2006/relationships/hyperlink" Target="https://ggj.chizhou.gov.cn/front/bidcontent/9005001004/e879a800fa794c8c80fd6f70b1b81e85" TargetMode="External"/><Relationship Id="rId42" Type="http://schemas.openxmlformats.org/officeDocument/2006/relationships/hyperlink" Target="https://ggj.chizhou.gov.cn/front/bidcontent/9005001004/697f08906cb6482594b960ad374230ba" TargetMode="External"/><Relationship Id="rId41" Type="http://schemas.openxmlformats.org/officeDocument/2006/relationships/hyperlink" Target="https://ggj.chizhou.gov.cn/front/bidcontent/9005001004/ac4187e7c00e4179b90b0a6064c64bf8" TargetMode="External"/><Relationship Id="rId40" Type="http://schemas.openxmlformats.org/officeDocument/2006/relationships/hyperlink" Target="https://ggj.chizhou.gov.cn/front/bidcontent/9005001004/d1a07f5619af40f49cfd0f8fe067ce5d" TargetMode="External"/><Relationship Id="rId4" Type="http://schemas.openxmlformats.org/officeDocument/2006/relationships/hyperlink" Target="https://ggj.chizhou.gov.cn/front/bidcontent/9005001004/c86e956e9d2e4a1999cc42cd73f3c6d2" TargetMode="External"/><Relationship Id="rId39" Type="http://schemas.openxmlformats.org/officeDocument/2006/relationships/hyperlink" Target="https://ggj.chizhou.gov.cn/front/bidcontent/9005001004/3e65311785b34cbb8cb79c51b09f8215" TargetMode="External"/><Relationship Id="rId38" Type="http://schemas.openxmlformats.org/officeDocument/2006/relationships/hyperlink" Target="https://ggj.chizhou.gov.cn/front/bidcontent/9005001004/a3bb98e4d9e5434ca6df7a2020da2240" TargetMode="External"/><Relationship Id="rId37" Type="http://schemas.openxmlformats.org/officeDocument/2006/relationships/hyperlink" Target="https://ggj.chizhou.gov.cn/front/bidcontent/9005001004/fc73f1d6db0e46b780d025c19d9b18f1" TargetMode="External"/><Relationship Id="rId36" Type="http://schemas.openxmlformats.org/officeDocument/2006/relationships/hyperlink" Target="https://ggj.chizhou.gov.cn/front/bidcontent/9005001004/de92d969c2b74e26b75d721edb53ae0d" TargetMode="External"/><Relationship Id="rId35" Type="http://schemas.openxmlformats.org/officeDocument/2006/relationships/hyperlink" Target="https://ggj.chizhou.gov.cn/front/bidcontent/9005001004/80903eeb705147c9a08710ceec95fe05" TargetMode="External"/><Relationship Id="rId34" Type="http://schemas.openxmlformats.org/officeDocument/2006/relationships/hyperlink" Target="https://ggj.chizhou.gov.cn/front/bidcontent/9005001004/43190a9e52cb4de99524216f35cb0b63" TargetMode="External"/><Relationship Id="rId33" Type="http://schemas.openxmlformats.org/officeDocument/2006/relationships/hyperlink" Target="https://ggj.chizhou.gov.cn/front/bidcontent/9005001004/9f6e551c6578420bb15a4fd1382dd97d" TargetMode="External"/><Relationship Id="rId32" Type="http://schemas.openxmlformats.org/officeDocument/2006/relationships/hyperlink" Target="https://ggj.chizhou.gov.cn/front/bidcontent/9005001004/a855150563ae4e4abc215365f285e846" TargetMode="External"/><Relationship Id="rId31" Type="http://schemas.openxmlformats.org/officeDocument/2006/relationships/hyperlink" Target="https://ggj.chizhou.gov.cn/front/bidcontent/9005001004/56a685e74747480097198e30a71b4bc5" TargetMode="External"/><Relationship Id="rId30" Type="http://schemas.openxmlformats.org/officeDocument/2006/relationships/hyperlink" Target="https://ggj.chizhou.gov.cn/front/bidcontent/9005001004/1c4758c9aba440e5967703660d98d285" TargetMode="External"/><Relationship Id="rId3" Type="http://schemas.openxmlformats.org/officeDocument/2006/relationships/hyperlink" Target="https://ggj.chizhou.gov.cn/front/bidcontent/9005001004/db387280c584483eb0b6b889c1789819" TargetMode="External"/><Relationship Id="rId29" Type="http://schemas.openxmlformats.org/officeDocument/2006/relationships/hyperlink" Target="https://ggj.chizhou.gov.cn/front/bidcontent/9005001004/d50e1573c3fa48b5af436ae3f222136b" TargetMode="External"/><Relationship Id="rId28" Type="http://schemas.openxmlformats.org/officeDocument/2006/relationships/hyperlink" Target="https://ggj.chizhou.gov.cn/front/bidcontent/9005001004/023960edd7f5493c907e87afca6d852b" TargetMode="External"/><Relationship Id="rId27" Type="http://schemas.openxmlformats.org/officeDocument/2006/relationships/hyperlink" Target="https://ggj.chizhou.gov.cn/front/bidcontent/9005001004/a797537dc7c04e07b608e7c4e8b94509" TargetMode="External"/><Relationship Id="rId26" Type="http://schemas.openxmlformats.org/officeDocument/2006/relationships/hyperlink" Target="https://ggj.chizhou.gov.cn/front/bidcontent/9005001004/6b75dc75e9a147ff9814be9dd5a192a2" TargetMode="External"/><Relationship Id="rId25" Type="http://schemas.openxmlformats.org/officeDocument/2006/relationships/hyperlink" Target="https://ggj.chizhou.gov.cn/front/bidcontent/9005001004/5ca2528d11054aff8fc2ebb107f6f51c" TargetMode="External"/><Relationship Id="rId24" Type="http://schemas.openxmlformats.org/officeDocument/2006/relationships/hyperlink" Target="https://ggj.chizhou.gov.cn/front/bidcontent/9005001004/4b7f3a608741460caefc25354e17b954" TargetMode="External"/><Relationship Id="rId23" Type="http://schemas.openxmlformats.org/officeDocument/2006/relationships/hyperlink" Target="https://ggj.chizhou.gov.cn/front/bidcontent/9005001004/65144d4e4df64ab985cc0b04e79abd42" TargetMode="External"/><Relationship Id="rId22" Type="http://schemas.openxmlformats.org/officeDocument/2006/relationships/hyperlink" Target="https://ggj.chizhou.gov.cn/front/bidcontent/9005001004/4d42cd0e4928481aa35451b9b75e0ce3" TargetMode="External"/><Relationship Id="rId21" Type="http://schemas.openxmlformats.org/officeDocument/2006/relationships/hyperlink" Target="https://ggj.chizhou.gov.cn/front/bidcontent/9005001004/11f267c0245d4c368cbb43707262f12e" TargetMode="External"/><Relationship Id="rId20" Type="http://schemas.openxmlformats.org/officeDocument/2006/relationships/hyperlink" Target="https://ggj.chizhou.gov.cn/front/bidcontent/9005001004/0e2662233c704bbf9cddfdcd8c9426ca" TargetMode="External"/><Relationship Id="rId2" Type="http://schemas.openxmlformats.org/officeDocument/2006/relationships/hyperlink" Target="https://ggj.chizhou.gov.cn/front/bidcontent/9005001004/7833d1771fc1401794b4fbb592bae93c" TargetMode="External"/><Relationship Id="rId19" Type="http://schemas.openxmlformats.org/officeDocument/2006/relationships/hyperlink" Target="https://ggj.chizhou.gov.cn/front/bidcontent/9005001004/c84864e77a28422cb1a2314105d826de" TargetMode="External"/><Relationship Id="rId18" Type="http://schemas.openxmlformats.org/officeDocument/2006/relationships/hyperlink" Target="https://ggj.chizhou.gov.cn/front/bidcontent/9005001004/dfe7ffac1e8a49b09d53ac0a3432d6a6" TargetMode="External"/><Relationship Id="rId17" Type="http://schemas.openxmlformats.org/officeDocument/2006/relationships/hyperlink" Target="https://ggj.chizhou.gov.cn/front/bidcontent/9005001004/316190a3bbb64756b82211865922ae3c" TargetMode="External"/><Relationship Id="rId16" Type="http://schemas.openxmlformats.org/officeDocument/2006/relationships/hyperlink" Target="https://ggj.chizhou.gov.cn/front/bidcontent/9005001004/2aee03f4781f47219557e7bbb72820c6" TargetMode="External"/><Relationship Id="rId15" Type="http://schemas.openxmlformats.org/officeDocument/2006/relationships/hyperlink" Target="https://ggj.chizhou.gov.cn/front/bidcontent/9005001004/bdf76aee46c94347ba5912fc98098b9c" TargetMode="External"/><Relationship Id="rId14" Type="http://schemas.openxmlformats.org/officeDocument/2006/relationships/hyperlink" Target="https://ggj.chizhou.gov.cn/front/bidcontent/9005001004/50e9a20e6b3241e8861ef95330c05e0a" TargetMode="External"/><Relationship Id="rId13" Type="http://schemas.openxmlformats.org/officeDocument/2006/relationships/hyperlink" Target="https://ggj.chizhou.gov.cn/front/bidcontent/9005001004/e2b6f2e0342242a59723d2ff04673eed" TargetMode="External"/><Relationship Id="rId12" Type="http://schemas.openxmlformats.org/officeDocument/2006/relationships/hyperlink" Target="https://ggj.chizhou.gov.cn/front/bidcontent/9005001004/91490b657ef148ac980cea14fc66e4c3" TargetMode="External"/><Relationship Id="rId112" Type="http://schemas.openxmlformats.org/officeDocument/2006/relationships/hyperlink" Target="https://ggj.chizhou.gov.cn/front/bidcontent/9005001004/239d106afce84a1ba814847227562404" TargetMode="External"/><Relationship Id="rId111" Type="http://schemas.openxmlformats.org/officeDocument/2006/relationships/hyperlink" Target="https://ggj.chizhou.gov.cn/front/bidcontent/9005001004/76ce62242ab745d7a043bd28bd4ecbc0" TargetMode="External"/><Relationship Id="rId110" Type="http://schemas.openxmlformats.org/officeDocument/2006/relationships/hyperlink" Target="https://ggj.chizhou.gov.cn/front/bidcontent/9005001004/959ba7af83724e79a8aee704ffd44ba5" TargetMode="External"/><Relationship Id="rId11" Type="http://schemas.openxmlformats.org/officeDocument/2006/relationships/hyperlink" Target="https://ggj.chizhou.gov.cn/front/bidcontent/9005001004/4ae81a26a1a8464b9aa80042228c3e76" TargetMode="External"/><Relationship Id="rId109" Type="http://schemas.openxmlformats.org/officeDocument/2006/relationships/hyperlink" Target="https://ggj.chizhou.gov.cn/front/bidcontent/9005001004/55cbceaf6b844882aa045582fd5e2099" TargetMode="External"/><Relationship Id="rId108" Type="http://schemas.openxmlformats.org/officeDocument/2006/relationships/hyperlink" Target="https://ggj.chizhou.gov.cn/front/bidcontent/9005001004/98cdd50fd9de472e8e042c2bd8ad5cd9" TargetMode="External"/><Relationship Id="rId107" Type="http://schemas.openxmlformats.org/officeDocument/2006/relationships/hyperlink" Target="https://ggj.chizhou.gov.cn/front/bidcontent/9005001004/f787d530981e43f6ae62654c8de4cf98" TargetMode="External"/><Relationship Id="rId106" Type="http://schemas.openxmlformats.org/officeDocument/2006/relationships/hyperlink" Target="https://ggj.chizhou.gov.cn/front/bidcontent/9005001004/1e80385bd70640f79f9786755a65b16f" TargetMode="External"/><Relationship Id="rId105" Type="http://schemas.openxmlformats.org/officeDocument/2006/relationships/hyperlink" Target="https://ggj.chizhou.gov.cn/front/bidcontent/9005001004/62fc6715057046179cbf1c2e3cabac19" TargetMode="External"/><Relationship Id="rId104" Type="http://schemas.openxmlformats.org/officeDocument/2006/relationships/hyperlink" Target="https://ggj.chizhou.gov.cn/front/bidcontent/9005001004/592aa2f1b7c7445c98d42ab517b48e08" TargetMode="External"/><Relationship Id="rId103" Type="http://schemas.openxmlformats.org/officeDocument/2006/relationships/hyperlink" Target="https://ggj.chizhou.gov.cn/front/bidcontent/9005001004/1b21ec41ad034442899cb00ea97a2df7" TargetMode="External"/><Relationship Id="rId102" Type="http://schemas.openxmlformats.org/officeDocument/2006/relationships/hyperlink" Target="https://ggj.chizhou.gov.cn/front/bidcontent/9005001004/10250cd2938e40f08c3c8a1929d06bb7" TargetMode="External"/><Relationship Id="rId101" Type="http://schemas.openxmlformats.org/officeDocument/2006/relationships/hyperlink" Target="https://ggj.chizhou.gov.cn/front/bidcontent/9005001004/d97f434a9a5141e9b7bb866c296a6947" TargetMode="External"/><Relationship Id="rId100" Type="http://schemas.openxmlformats.org/officeDocument/2006/relationships/hyperlink" Target="https://ggj.chizhou.gov.cn/front/bidcontent/9005001004/6f707b01f8914954a080f2f73d073ffb" TargetMode="External"/><Relationship Id="rId10" Type="http://schemas.openxmlformats.org/officeDocument/2006/relationships/hyperlink" Target="https://ggj.chizhou.gov.cn/front/bidcontent/9005001004/a9295cf82dde42e585dc65c05201efed" TargetMode="External"/><Relationship Id="rId1" Type="http://schemas.openxmlformats.org/officeDocument/2006/relationships/hyperlink" Target="https://ggj.chizhou.gov.cn/front/bidcontent/9005001004/7cb3898959644f8a8a2b55d4f608376c" TargetMode="External"/></Relationships>
</file>

<file path=xl/worksheets/_rels/sheet2.xml.rels><?xml version="1.0" encoding="UTF-8" standalone="yes"?>
<Relationships xmlns="http://schemas.openxmlformats.org/package/2006/relationships"><Relationship Id="rId9" Type="http://schemas.openxmlformats.org/officeDocument/2006/relationships/hyperlink" Target="https://ggj.chizhou.gov.cn/front/bidcontent/9005001004/d1a07f5619af40f49cfd0f8fe067ce5d" TargetMode="External"/><Relationship Id="rId8" Type="http://schemas.openxmlformats.org/officeDocument/2006/relationships/hyperlink" Target="https://ggj.chizhou.gov.cn/front/bidcontent/9005001004/3e65311785b34cbb8cb79c51b09f8215" TargetMode="External"/><Relationship Id="rId7" Type="http://schemas.openxmlformats.org/officeDocument/2006/relationships/hyperlink" Target="https://ggj.chizhou.gov.cn/front/bidcontent/9005001004/a3bb98e4d9e5434ca6df7a2020da2240" TargetMode="External"/><Relationship Id="rId6" Type="http://schemas.openxmlformats.org/officeDocument/2006/relationships/hyperlink" Target="https://ggj.chizhou.gov.cn/front/bidcontent/9005001004/fc73f1d6db0e46b780d025c19d9b18f1" TargetMode="External"/><Relationship Id="rId5" Type="http://schemas.openxmlformats.org/officeDocument/2006/relationships/hyperlink" Target="https://ggj.chizhou.gov.cn/front/bidcontent/9005001004/de92d969c2b74e26b75d721edb53ae0d" TargetMode="External"/><Relationship Id="rId43" Type="http://schemas.openxmlformats.org/officeDocument/2006/relationships/hyperlink" Target="https://ggj.chizhou.gov.cn/front/bidcontent/9005001004/f54ce8ecd0874b92ac6a49b26c640ca9" TargetMode="External"/><Relationship Id="rId42" Type="http://schemas.openxmlformats.org/officeDocument/2006/relationships/hyperlink" Target="https://ggj.chizhou.gov.cn/front/bidcontent/9005001004/2367365576684e49ba957a40e717b6fb" TargetMode="External"/><Relationship Id="rId41" Type="http://schemas.openxmlformats.org/officeDocument/2006/relationships/hyperlink" Target="https://ggj.chizhou.gov.cn/front/bidcontent/9005001004/9f838105932d4657b83f6815949376ae" TargetMode="External"/><Relationship Id="rId40" Type="http://schemas.openxmlformats.org/officeDocument/2006/relationships/hyperlink" Target="https://ggj.chizhou.gov.cn/front/bidcontent/9005001004/1b73ea3e16234af8aa54e4cee4bd33c2" TargetMode="External"/><Relationship Id="rId4" Type="http://schemas.openxmlformats.org/officeDocument/2006/relationships/hyperlink" Target="https://ggj.chizhou.gov.cn/front/bidcontent/9005001004/80903eeb705147c9a08710ceec95fe05" TargetMode="External"/><Relationship Id="rId39" Type="http://schemas.openxmlformats.org/officeDocument/2006/relationships/hyperlink" Target="https://ggj.chizhou.gov.cn/front/bidcontent/9005001004/b6e6b3fab6a548bda57773b03918dc6d" TargetMode="External"/><Relationship Id="rId38" Type="http://schemas.openxmlformats.org/officeDocument/2006/relationships/hyperlink" Target="https://ggj.chizhou.gov.cn/front/bidcontent/9005001004/d30282a1bc934ac5bf453184309aa9cc" TargetMode="External"/><Relationship Id="rId37" Type="http://schemas.openxmlformats.org/officeDocument/2006/relationships/hyperlink" Target="https://ggj.chizhou.gov.cn/front/bidcontent/9005001004/73dca2d371d14bcf981b3886c30d9511" TargetMode="External"/><Relationship Id="rId36" Type="http://schemas.openxmlformats.org/officeDocument/2006/relationships/hyperlink" Target="https://ggj.chizhou.gov.cn/front/bidcontent/9005001004/aa44cceba2784cd79cefc04dfe6fdcf0" TargetMode="External"/><Relationship Id="rId35" Type="http://schemas.openxmlformats.org/officeDocument/2006/relationships/hyperlink" Target="https://ggj.chizhou.gov.cn/front/bidcontent/9005001004/a08c82520bdb4b5381aaf2b19fc84418" TargetMode="External"/><Relationship Id="rId34" Type="http://schemas.openxmlformats.org/officeDocument/2006/relationships/hyperlink" Target="https://ggj.chizhou.gov.cn/front/bidcontent/9005001004/7008edc535754ec4aed1c3cac80bd7ac" TargetMode="External"/><Relationship Id="rId33" Type="http://schemas.openxmlformats.org/officeDocument/2006/relationships/hyperlink" Target="https://ggj.chizhou.gov.cn/front/bidcontent/9005001004/2f58e806f0f0424d83497c5400a694ed" TargetMode="External"/><Relationship Id="rId32" Type="http://schemas.openxmlformats.org/officeDocument/2006/relationships/hyperlink" Target="https://ggj.chizhou.gov.cn/front/bidcontent/9005001004/0504e778e6114b86a4399e397eae989e" TargetMode="External"/><Relationship Id="rId31" Type="http://schemas.openxmlformats.org/officeDocument/2006/relationships/hyperlink" Target="https://ggj.chizhou.gov.cn/front/bidcontent/9005001004/088faf6b90424a4594d632998e9fe3d5" TargetMode="External"/><Relationship Id="rId30" Type="http://schemas.openxmlformats.org/officeDocument/2006/relationships/hyperlink" Target="https://ggj.chizhou.gov.cn/front/bidcontent/9005001004/be105ab4080a450fa054e4dd747ed14d" TargetMode="External"/><Relationship Id="rId3" Type="http://schemas.openxmlformats.org/officeDocument/2006/relationships/hyperlink" Target="https://ggj.chizhou.gov.cn/front/bidcontent/9005001004/43190a9e52cb4de99524216f35cb0b63" TargetMode="External"/><Relationship Id="rId29" Type="http://schemas.openxmlformats.org/officeDocument/2006/relationships/hyperlink" Target="https://ggj.chizhou.gov.cn/front/bidcontent/9005001004/65953e9aec914812b46c97454b361c7d" TargetMode="External"/><Relationship Id="rId28" Type="http://schemas.openxmlformats.org/officeDocument/2006/relationships/hyperlink" Target="https://ggj.chizhou.gov.cn/front/bidcontent/9005001004/1b0e64b4a12d444f955b57648bc8311e" TargetMode="External"/><Relationship Id="rId27" Type="http://schemas.openxmlformats.org/officeDocument/2006/relationships/hyperlink" Target="https://ggj.chizhou.gov.cn/front/bidcontent/9005001004/d16188105f7740a2aa2c070a10c762da" TargetMode="External"/><Relationship Id="rId26" Type="http://schemas.openxmlformats.org/officeDocument/2006/relationships/hyperlink" Target="https://ggj.chizhou.gov.cn/front/bidcontent/9005001004/46643cdaa14249e6b6951856db9cb92c" TargetMode="External"/><Relationship Id="rId25" Type="http://schemas.openxmlformats.org/officeDocument/2006/relationships/hyperlink" Target="https://ggj.chizhou.gov.cn/front/bidcontent/9005001004/0260929f7ebf4787b85a88bd031237f6" TargetMode="External"/><Relationship Id="rId24" Type="http://schemas.openxmlformats.org/officeDocument/2006/relationships/hyperlink" Target="https://ggj.chizhou.gov.cn/front/bidcontent/9005001004/712d09b120c545d88907559da51085fd" TargetMode="External"/><Relationship Id="rId23" Type="http://schemas.openxmlformats.org/officeDocument/2006/relationships/hyperlink" Target="https://ggj.chizhou.gov.cn/front/bidcontent/9005001004/b9ed18da1a2141caad9a1e96c88f84ca" TargetMode="External"/><Relationship Id="rId22" Type="http://schemas.openxmlformats.org/officeDocument/2006/relationships/hyperlink" Target="https://ggj.chizhou.gov.cn/front/bidcontent/9005001004/25ce3a3ceb3048afbdb3f57057eea4d6" TargetMode="External"/><Relationship Id="rId21" Type="http://schemas.openxmlformats.org/officeDocument/2006/relationships/hyperlink" Target="https://ggj.chizhou.gov.cn/front/bidcontent/9005001004/bc3baa4137944a3c893e4ce64279ec3c" TargetMode="External"/><Relationship Id="rId20" Type="http://schemas.openxmlformats.org/officeDocument/2006/relationships/hyperlink" Target="https://ggj.chizhou.gov.cn/front/bidcontent/9005001004/4a7f9da16b4d49ef861249b18045c156" TargetMode="External"/><Relationship Id="rId2" Type="http://schemas.openxmlformats.org/officeDocument/2006/relationships/hyperlink" Target="https://ggj.chizhou.gov.cn/front/bidcontent/9005001004/9f6e551c6578420bb15a4fd1382dd97d" TargetMode="External"/><Relationship Id="rId19" Type="http://schemas.openxmlformats.org/officeDocument/2006/relationships/hyperlink" Target="https://ggj.chizhou.gov.cn/front/bidcontent/9005001004/139ffde044874caf8d4811f8aaf30ba8" TargetMode="External"/><Relationship Id="rId18" Type="http://schemas.openxmlformats.org/officeDocument/2006/relationships/hyperlink" Target="https://ggj.chizhou.gov.cn/front/bidcontent/9005001004/142f2d5ea17047b48a819f8c62eaa9da" TargetMode="External"/><Relationship Id="rId17" Type="http://schemas.openxmlformats.org/officeDocument/2006/relationships/hyperlink" Target="https://ggj.chizhou.gov.cn/front/bidcontent/9005001004/f9cd002055084485b02b703b75e9137c" TargetMode="External"/><Relationship Id="rId16" Type="http://schemas.openxmlformats.org/officeDocument/2006/relationships/hyperlink" Target="https://ggj.chizhou.gov.cn/front/bidcontent/9005001004/030e3fe1d863484da8df1f924627cec6" TargetMode="External"/><Relationship Id="rId15" Type="http://schemas.openxmlformats.org/officeDocument/2006/relationships/hyperlink" Target="https://ggj.chizhou.gov.cn/front/bidcontent/9005001004/baae982084b9440b910b086993caa5b0" TargetMode="External"/><Relationship Id="rId14" Type="http://schemas.openxmlformats.org/officeDocument/2006/relationships/hyperlink" Target="https://ggj.chizhou.gov.cn/front/bidcontent/9005001004/d6ff53d4d55d4c0cb85f526692729752" TargetMode="External"/><Relationship Id="rId13" Type="http://schemas.openxmlformats.org/officeDocument/2006/relationships/hyperlink" Target="https://ggj.chizhou.gov.cn/front/bidcontent/9005001004/d67ac7a6df8e4e78924ebc556acfcac0" TargetMode="External"/><Relationship Id="rId12" Type="http://schemas.openxmlformats.org/officeDocument/2006/relationships/hyperlink" Target="https://ggj.chizhou.gov.cn/front/bidcontent/9005001004/e879a800fa794c8c80fd6f70b1b81e85" TargetMode="External"/><Relationship Id="rId11" Type="http://schemas.openxmlformats.org/officeDocument/2006/relationships/hyperlink" Target="https://ggj.chizhou.gov.cn/front/bidcontent/9005001004/697f08906cb6482594b960ad374230ba" TargetMode="External"/><Relationship Id="rId10" Type="http://schemas.openxmlformats.org/officeDocument/2006/relationships/hyperlink" Target="https://ggj.chizhou.gov.cn/front/bidcontent/9005001004/ac4187e7c00e4179b90b0a6064c64bf8" TargetMode="External"/><Relationship Id="rId1" Type="http://schemas.openxmlformats.org/officeDocument/2006/relationships/hyperlink" Target="https://ggj.chizhou.gov.cn/front/bidcontent/9005001004/a855150563ae4e4abc215365f285e846" TargetMode="External"/></Relationships>
</file>

<file path=xl/worksheets/_rels/sheet3.xml.rels><?xml version="1.0" encoding="UTF-8" standalone="yes"?>
<Relationships xmlns="http://schemas.openxmlformats.org/package/2006/relationships"><Relationship Id="rId9" Type="http://schemas.openxmlformats.org/officeDocument/2006/relationships/hyperlink" Target="https://ggj.chizhou.gov.cn/front/bidcontent/9005001004/866d6c15d7bd4e20a03037752370442a" TargetMode="External"/><Relationship Id="rId8" Type="http://schemas.openxmlformats.org/officeDocument/2006/relationships/hyperlink" Target="https://ggj.chizhou.gov.cn/front/bidcontent/9005001004/cc231260ec9a4651b9152c1e3846e449" TargetMode="External"/><Relationship Id="rId7" Type="http://schemas.openxmlformats.org/officeDocument/2006/relationships/hyperlink" Target="https://ggj.chizhou.gov.cn/front/bidcontent/9005001004/a74fb539ab8e46c983efd8e1081782a0" TargetMode="External"/><Relationship Id="rId6" Type="http://schemas.openxmlformats.org/officeDocument/2006/relationships/hyperlink" Target="https://ggj.chizhou.gov.cn/front/bidcontent/9005001004/da86ab0707a64463a8777fc60c4c8107" TargetMode="External"/><Relationship Id="rId5" Type="http://schemas.openxmlformats.org/officeDocument/2006/relationships/hyperlink" Target="https://ggj.chizhou.gov.cn/front/bidcontent/9005001004/a78c6f6e2e0c41ddb54da8935e9f9332" TargetMode="External"/><Relationship Id="rId4" Type="http://schemas.openxmlformats.org/officeDocument/2006/relationships/hyperlink" Target="https://ggj.chizhou.gov.cn/front/bidcontent/9005001004/c86e956e9d2e4a1999cc42cd73f3c6d2" TargetMode="External"/><Relationship Id="rId31" Type="http://schemas.openxmlformats.org/officeDocument/2006/relationships/hyperlink" Target="https://ggj.chizhou.gov.cn/front/bidcontent/9005001004/56a685e74747480097198e30a71b4bc5" TargetMode="External"/><Relationship Id="rId30" Type="http://schemas.openxmlformats.org/officeDocument/2006/relationships/hyperlink" Target="https://ggj.chizhou.gov.cn/front/bidcontent/9005001004/1c4758c9aba440e5967703660d98d285" TargetMode="External"/><Relationship Id="rId3" Type="http://schemas.openxmlformats.org/officeDocument/2006/relationships/hyperlink" Target="https://ggj.chizhou.gov.cn/front/bidcontent/9005001004/db387280c584483eb0b6b889c1789819" TargetMode="External"/><Relationship Id="rId29" Type="http://schemas.openxmlformats.org/officeDocument/2006/relationships/hyperlink" Target="https://ggj.chizhou.gov.cn/front/bidcontent/9005001004/d50e1573c3fa48b5af436ae3f222136b" TargetMode="External"/><Relationship Id="rId28" Type="http://schemas.openxmlformats.org/officeDocument/2006/relationships/hyperlink" Target="https://ggj.chizhou.gov.cn/front/bidcontent/9005001004/023960edd7f5493c907e87afca6d852b" TargetMode="External"/><Relationship Id="rId27" Type="http://schemas.openxmlformats.org/officeDocument/2006/relationships/hyperlink" Target="https://ggj.chizhou.gov.cn/front/bidcontent/9005001004/a797537dc7c04e07b608e7c4e8b94509" TargetMode="External"/><Relationship Id="rId26" Type="http://schemas.openxmlformats.org/officeDocument/2006/relationships/hyperlink" Target="https://ggj.chizhou.gov.cn/front/bidcontent/9005001004/6b75dc75e9a147ff9814be9dd5a192a2" TargetMode="External"/><Relationship Id="rId25" Type="http://schemas.openxmlformats.org/officeDocument/2006/relationships/hyperlink" Target="https://ggj.chizhou.gov.cn/front/bidcontent/9005001004/5ca2528d11054aff8fc2ebb107f6f51c" TargetMode="External"/><Relationship Id="rId24" Type="http://schemas.openxmlformats.org/officeDocument/2006/relationships/hyperlink" Target="https://ggj.chizhou.gov.cn/front/bidcontent/9005001004/4b7f3a608741460caefc25354e17b954" TargetMode="External"/><Relationship Id="rId23" Type="http://schemas.openxmlformats.org/officeDocument/2006/relationships/hyperlink" Target="https://ggj.chizhou.gov.cn/front/bidcontent/9005001004/65144d4e4df64ab985cc0b04e79abd42" TargetMode="External"/><Relationship Id="rId22" Type="http://schemas.openxmlformats.org/officeDocument/2006/relationships/hyperlink" Target="https://ggj.chizhou.gov.cn/front/bidcontent/9005001004/4d42cd0e4928481aa35451b9b75e0ce3" TargetMode="External"/><Relationship Id="rId21" Type="http://schemas.openxmlformats.org/officeDocument/2006/relationships/hyperlink" Target="https://ggj.chizhou.gov.cn/front/bidcontent/9005001004/11f267c0245d4c368cbb43707262f12e" TargetMode="External"/><Relationship Id="rId20" Type="http://schemas.openxmlformats.org/officeDocument/2006/relationships/hyperlink" Target="https://ggj.chizhou.gov.cn/front/bidcontent/9005001004/0e2662233c704bbf9cddfdcd8c9426ca" TargetMode="External"/><Relationship Id="rId2" Type="http://schemas.openxmlformats.org/officeDocument/2006/relationships/hyperlink" Target="https://ggj.chizhou.gov.cn/front/bidcontent/9005001004/7833d1771fc1401794b4fbb592bae93c" TargetMode="External"/><Relationship Id="rId19" Type="http://schemas.openxmlformats.org/officeDocument/2006/relationships/hyperlink" Target="https://ggj.chizhou.gov.cn/front/bidcontent/9005001004/c84864e77a28422cb1a2314105d826de" TargetMode="External"/><Relationship Id="rId18" Type="http://schemas.openxmlformats.org/officeDocument/2006/relationships/hyperlink" Target="https://ggj.chizhou.gov.cn/front/bidcontent/9005001004/dfe7ffac1e8a49b09d53ac0a3432d6a6" TargetMode="External"/><Relationship Id="rId17" Type="http://schemas.openxmlformats.org/officeDocument/2006/relationships/hyperlink" Target="https://ggj.chizhou.gov.cn/front/bidcontent/9005001004/316190a3bbb64756b82211865922ae3c" TargetMode="External"/><Relationship Id="rId16" Type="http://schemas.openxmlformats.org/officeDocument/2006/relationships/hyperlink" Target="https://ggj.chizhou.gov.cn/front/bidcontent/9005001004/2aee03f4781f47219557e7bbb72820c6" TargetMode="External"/><Relationship Id="rId15" Type="http://schemas.openxmlformats.org/officeDocument/2006/relationships/hyperlink" Target="https://ggj.chizhou.gov.cn/front/bidcontent/9005001004/bdf76aee46c94347ba5912fc98098b9c" TargetMode="External"/><Relationship Id="rId14" Type="http://schemas.openxmlformats.org/officeDocument/2006/relationships/hyperlink" Target="https://ggj.chizhou.gov.cn/front/bidcontent/9005001004/50e9a20e6b3241e8861ef95330c05e0a" TargetMode="External"/><Relationship Id="rId13" Type="http://schemas.openxmlformats.org/officeDocument/2006/relationships/hyperlink" Target="https://ggj.chizhou.gov.cn/front/bidcontent/9005001004/e2b6f2e0342242a59723d2ff04673eed" TargetMode="External"/><Relationship Id="rId12" Type="http://schemas.openxmlformats.org/officeDocument/2006/relationships/hyperlink" Target="https://ggj.chizhou.gov.cn/front/bidcontent/9005001004/91490b657ef148ac980cea14fc66e4c3" TargetMode="External"/><Relationship Id="rId11" Type="http://schemas.openxmlformats.org/officeDocument/2006/relationships/hyperlink" Target="https://ggj.chizhou.gov.cn/front/bidcontent/9005001004/4ae81a26a1a8464b9aa80042228c3e76" TargetMode="External"/><Relationship Id="rId10" Type="http://schemas.openxmlformats.org/officeDocument/2006/relationships/hyperlink" Target="https://ggj.chizhou.gov.cn/front/bidcontent/9005001004/a9295cf82dde42e585dc65c05201efed" TargetMode="External"/><Relationship Id="rId1" Type="http://schemas.openxmlformats.org/officeDocument/2006/relationships/hyperlink" Target="https://ggj.chizhou.gov.cn/front/bidcontent/9005001004/7cb3898959644f8a8a2b55d4f608376c"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ggj.chizhou.gov.cn/front/bidcontent/9005001004/6076e062062d4032a78adbe10b6be43d" TargetMode="External"/><Relationship Id="rId7" Type="http://schemas.openxmlformats.org/officeDocument/2006/relationships/hyperlink" Target="https://ggj.chizhou.gov.cn/front/bidcontent/9005001004/a5c5ccdabbc64165a8be42bd12dc8445" TargetMode="External"/><Relationship Id="rId6" Type="http://schemas.openxmlformats.org/officeDocument/2006/relationships/hyperlink" Target="https://ggj.chizhou.gov.cn/front/bidcontent/9005001004/b0dabebc056f49989668e6798b972bb5" TargetMode="External"/><Relationship Id="rId5" Type="http://schemas.openxmlformats.org/officeDocument/2006/relationships/hyperlink" Target="https://ggj.chizhou.gov.cn/front/bidcontent/9005001004/7fa7634ec28348ee8ae6be172548ffde" TargetMode="External"/><Relationship Id="rId4" Type="http://schemas.openxmlformats.org/officeDocument/2006/relationships/hyperlink" Target="https://ggj.chizhou.gov.cn/front/bidcontent/9005001004/29c1f83605a0425f8161b5f22dfb0e77" TargetMode="External"/><Relationship Id="rId3" Type="http://schemas.openxmlformats.org/officeDocument/2006/relationships/hyperlink" Target="https://ggj.chizhou.gov.cn/front/bidcontent/9005001004/b52748ebf6dc453187e408424974b9b0" TargetMode="External"/><Relationship Id="rId2" Type="http://schemas.openxmlformats.org/officeDocument/2006/relationships/hyperlink" Target="https://ggj.chizhou.gov.cn/front/bidcontent/9005001004/abecd74c6e574474a75b972ff7515253" TargetMode="External"/><Relationship Id="rId1" Type="http://schemas.openxmlformats.org/officeDocument/2006/relationships/hyperlink" Target="https://ggj.chizhou.gov.cn/front/bidcontent/9005001004/e5fe54f0749042ef8d178ef9c3c14029"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ggj.chizhou.gov.cn/front/bidcontent/9005001004/543d3d209dc6486694802dc0b3a8b5ec" TargetMode="External"/><Relationship Id="rId2" Type="http://schemas.openxmlformats.org/officeDocument/2006/relationships/hyperlink" Target="https://ggj.chizhou.gov.cn/front/bidcontent/9005001004/f978278fe8ba435abaf65564c0756ff2" TargetMode="External"/><Relationship Id="rId1" Type="http://schemas.openxmlformats.org/officeDocument/2006/relationships/hyperlink" Target="https://ggj.chizhou.gov.cn/front/bidcontent/9005001004/6ba6d9d3b3c94015b99b151db6648f49"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438"/>
  <sheetViews>
    <sheetView tabSelected="1" zoomScale="85" zoomScaleNormal="85" topLeftCell="B1" workbookViewId="0">
      <pane ySplit="1" topLeftCell="A2" activePane="bottomLeft" state="frozen"/>
      <selection/>
      <selection pane="bottomLeft" activeCell="P10" sqref="P10"/>
    </sheetView>
  </sheetViews>
  <sheetFormatPr defaultColWidth="9" defaultRowHeight="24" customHeight="1"/>
  <cols>
    <col min="1" max="1" width="71.375" style="3" customWidth="1"/>
    <col min="2" max="3" width="18.75" style="4" customWidth="1"/>
    <col min="4" max="4" width="16.175" style="4" customWidth="1"/>
    <col min="5" max="5" width="9.125" style="4" customWidth="1"/>
    <col min="6" max="6" width="11.125" style="4" customWidth="1"/>
    <col min="7" max="7" width="10.75" style="4" customWidth="1"/>
    <col min="8" max="8" width="18.75" style="4" customWidth="1"/>
    <col min="9" max="9" width="9.125" style="4" customWidth="1"/>
    <col min="10" max="10" width="9.5" style="4" customWidth="1"/>
    <col min="11" max="11" width="11.875" style="4" customWidth="1"/>
    <col min="12" max="12" width="27.125" style="7" customWidth="1"/>
    <col min="13" max="13" width="11.375" style="8" customWidth="1"/>
    <col min="14" max="14" width="7.875" style="13" customWidth="1"/>
    <col min="15" max="16" width="5.375" style="13" customWidth="1"/>
    <col min="17" max="17" width="6.375" style="13" customWidth="1"/>
    <col min="18" max="18" width="4.375" style="13" customWidth="1"/>
    <col min="19" max="19" width="10.125" style="13" customWidth="1"/>
    <col min="20" max="20" width="14.5" style="13" customWidth="1"/>
    <col min="21" max="21" width="11.3166666666667" style="66" customWidth="1"/>
    <col min="22" max="22" width="75.375" style="13" customWidth="1"/>
    <col min="23" max="23" width="37.125" style="13" customWidth="1"/>
    <col min="24" max="24" width="6.375" style="13" customWidth="1"/>
    <col min="25" max="16379" width="9" style="13"/>
  </cols>
  <sheetData>
    <row r="1" s="13" customFormat="1" customHeight="1" spans="1:24">
      <c r="A1" s="3" t="s">
        <v>0</v>
      </c>
      <c r="B1" s="4" t="s">
        <v>1</v>
      </c>
      <c r="C1" s="4" t="s">
        <v>2</v>
      </c>
      <c r="D1" s="4" t="s">
        <v>3</v>
      </c>
      <c r="E1" s="4" t="s">
        <v>4</v>
      </c>
      <c r="F1" s="4" t="s">
        <v>5</v>
      </c>
      <c r="G1" s="4" t="s">
        <v>6</v>
      </c>
      <c r="H1" s="4" t="s">
        <v>7</v>
      </c>
      <c r="I1" s="4" t="s">
        <v>8</v>
      </c>
      <c r="J1" s="4" t="s">
        <v>9</v>
      </c>
      <c r="K1" s="4" t="s">
        <v>10</v>
      </c>
      <c r="L1" s="7" t="s">
        <v>11</v>
      </c>
      <c r="M1" s="8" t="s">
        <v>12</v>
      </c>
      <c r="N1" s="9" t="s">
        <v>13</v>
      </c>
      <c r="O1" s="9" t="s">
        <v>14</v>
      </c>
      <c r="P1" s="9" t="s">
        <v>15</v>
      </c>
      <c r="Q1" s="9" t="s">
        <v>16</v>
      </c>
      <c r="R1" s="9" t="s">
        <v>17</v>
      </c>
      <c r="S1" s="9" t="s">
        <v>18</v>
      </c>
      <c r="T1" s="9" t="s">
        <v>19</v>
      </c>
      <c r="U1" s="11" t="s">
        <v>20</v>
      </c>
      <c r="V1" s="9" t="s">
        <v>21</v>
      </c>
      <c r="W1" s="9" t="s">
        <v>22</v>
      </c>
      <c r="X1" s="9" t="s">
        <v>23</v>
      </c>
    </row>
    <row r="2" customFormat="1" customHeight="1" spans="1:21">
      <c r="A2" s="3" t="s">
        <v>24</v>
      </c>
      <c r="B2" s="4">
        <v>21471478.36</v>
      </c>
      <c r="C2" s="4"/>
      <c r="D2" s="4">
        <v>100.8</v>
      </c>
      <c r="E2" s="4">
        <v>19</v>
      </c>
      <c r="F2" s="4">
        <f>H2/B2/(D2*0.01)</f>
        <v>0.934027777965365</v>
      </c>
      <c r="G2" s="4">
        <f>100-100*F2</f>
        <v>6.59722220346349</v>
      </c>
      <c r="H2" s="4">
        <v>20215396.88</v>
      </c>
      <c r="I2" s="4">
        <f>100-100*H2/B2</f>
        <v>5.84999998109119</v>
      </c>
      <c r="J2" s="4"/>
      <c r="K2" s="4"/>
      <c r="L2" s="7">
        <v>44104.375</v>
      </c>
      <c r="M2" s="8">
        <v>28</v>
      </c>
      <c r="S2" s="35" t="s">
        <v>25</v>
      </c>
      <c r="T2" t="str">
        <f>_xlfn.DISPIMG("ID_A8CF580EBC2A49AE915DAA560CE19244",1)</f>
        <v>=DISPIMG("ID_A8CF580EBC2A49AE915DAA560CE19244",1)</v>
      </c>
      <c r="U2" s="120" t="s">
        <v>26</v>
      </c>
    </row>
    <row r="3" customFormat="1" customHeight="1" spans="1:23">
      <c r="A3" s="3" t="s">
        <v>27</v>
      </c>
      <c r="B3" s="4">
        <v>11359060.99</v>
      </c>
      <c r="C3" s="4"/>
      <c r="D3" s="4">
        <v>102</v>
      </c>
      <c r="E3" s="4">
        <v>15</v>
      </c>
      <c r="F3" s="4">
        <f>H3/B3/(D3*0.01)</f>
        <v>0.841901961254475</v>
      </c>
      <c r="G3" s="4">
        <f>100-100*F3</f>
        <v>15.8098038745525</v>
      </c>
      <c r="H3" s="4">
        <v>9754480.04</v>
      </c>
      <c r="I3" s="4">
        <f>100-100*H3/B3</f>
        <v>14.1259999520436</v>
      </c>
      <c r="J3" s="4"/>
      <c r="K3" s="4">
        <v>12</v>
      </c>
      <c r="L3" s="7">
        <v>44180.375</v>
      </c>
      <c r="M3" s="8"/>
      <c r="S3" s="35" t="s">
        <v>28</v>
      </c>
      <c r="T3" t="str">
        <f>_xlfn.DISPIMG("ID_A8CF580EBC2A49AE915DAA560CE19244",1)</f>
        <v>=DISPIMG("ID_A8CF580EBC2A49AE915DAA560CE19244",1)</v>
      </c>
      <c r="U3" s="120" t="s">
        <v>26</v>
      </c>
      <c r="V3" s="82" t="s">
        <v>29</v>
      </c>
      <c r="W3" s="82" t="s">
        <v>30</v>
      </c>
    </row>
    <row r="4" customFormat="1" customHeight="1" spans="1:23">
      <c r="A4" s="3" t="s">
        <v>31</v>
      </c>
      <c r="B4" s="4">
        <v>5815322.73</v>
      </c>
      <c r="C4" s="4"/>
      <c r="D4" s="4">
        <v>98.8</v>
      </c>
      <c r="E4" s="4">
        <v>19</v>
      </c>
      <c r="F4" s="4">
        <f>H4/B4/(D4*0.01)</f>
        <v>0.845609705324294</v>
      </c>
      <c r="G4" s="4">
        <f>100-100*F4</f>
        <v>15.4390294675705</v>
      </c>
      <c r="H4" s="4">
        <v>4858483.42</v>
      </c>
      <c r="I4" s="4">
        <f>100-100*H4/B4</f>
        <v>16.4537611139597</v>
      </c>
      <c r="J4" s="4"/>
      <c r="K4" s="4">
        <v>10</v>
      </c>
      <c r="L4" s="7">
        <v>44187.375</v>
      </c>
      <c r="M4" s="8"/>
      <c r="S4" s="35" t="s">
        <v>32</v>
      </c>
      <c r="T4" t="str">
        <f>_xlfn.DISPIMG("ID_A8CF580EBC2A49AE915DAA560CE19244",1)</f>
        <v>=DISPIMG("ID_A8CF580EBC2A49AE915DAA560CE19244",1)</v>
      </c>
      <c r="U4" s="120" t="s">
        <v>26</v>
      </c>
      <c r="V4" s="82" t="s">
        <v>29</v>
      </c>
      <c r="W4" s="82" t="s">
        <v>33</v>
      </c>
    </row>
    <row r="5" customFormat="1" customHeight="1" spans="1:23">
      <c r="A5" s="3" t="s">
        <v>34</v>
      </c>
      <c r="B5" s="4">
        <v>8482374.1</v>
      </c>
      <c r="C5" s="4"/>
      <c r="D5" s="4">
        <v>102</v>
      </c>
      <c r="E5" s="4">
        <v>12</v>
      </c>
      <c r="F5" s="4">
        <f>H5/B5/(D5*0.01)</f>
        <v>0.846467371884094</v>
      </c>
      <c r="G5" s="4">
        <f>100-100*F5</f>
        <v>15.3532628115906</v>
      </c>
      <c r="H5" s="4">
        <v>7323653.97</v>
      </c>
      <c r="I5" s="4">
        <f>100-100*H5/B5</f>
        <v>13.6603280678224</v>
      </c>
      <c r="J5" s="4"/>
      <c r="K5" s="4">
        <v>14</v>
      </c>
      <c r="L5" s="7">
        <v>44202.375</v>
      </c>
      <c r="M5" s="8"/>
      <c r="S5" s="35" t="s">
        <v>35</v>
      </c>
      <c r="T5" t="str">
        <f>_xlfn.DISPIMG("ID_A8CF580EBC2A49AE915DAA560CE19244",1)</f>
        <v>=DISPIMG("ID_A8CF580EBC2A49AE915DAA560CE19244",1)</v>
      </c>
      <c r="U5" s="120" t="s">
        <v>26</v>
      </c>
      <c r="V5" s="82" t="s">
        <v>29</v>
      </c>
      <c r="W5" s="82" t="s">
        <v>36</v>
      </c>
    </row>
    <row r="6" customFormat="1" customHeight="1" spans="1:23">
      <c r="A6" s="3" t="s">
        <v>37</v>
      </c>
      <c r="B6" s="4">
        <v>13105328.9</v>
      </c>
      <c r="C6" s="4"/>
      <c r="D6" s="4">
        <v>0.2</v>
      </c>
      <c r="E6" s="4"/>
      <c r="F6" s="4">
        <f>(H6/B6-D6)/(1-D6)</f>
        <v>0.986625011372282</v>
      </c>
      <c r="G6" s="4">
        <f>100-100*F6</f>
        <v>1.3374988627718</v>
      </c>
      <c r="H6" s="4">
        <v>12965102</v>
      </c>
      <c r="I6" s="4">
        <f>100-100*H6/B6</f>
        <v>1.06999909021742</v>
      </c>
      <c r="J6" s="4"/>
      <c r="K6" s="4">
        <v>8.6</v>
      </c>
      <c r="L6" s="7">
        <v>44232.3958333333</v>
      </c>
      <c r="M6" s="8"/>
      <c r="S6" t="s">
        <v>38</v>
      </c>
      <c r="T6" t="str">
        <f>_xlfn.DISPIMG("ID_2075DED061DC483A94E38AC7E8DD6DB4",1)</f>
        <v>=DISPIMG("ID_2075DED061DC483A94E38AC7E8DD6DB4",1)</v>
      </c>
      <c r="U6" t="s">
        <v>39</v>
      </c>
      <c r="V6" s="5" t="s">
        <v>40</v>
      </c>
      <c r="W6" s="5" t="s">
        <v>41</v>
      </c>
    </row>
    <row r="7" customFormat="1" customHeight="1" spans="1:23">
      <c r="A7" s="3" t="s">
        <v>42</v>
      </c>
      <c r="B7" s="4">
        <v>47572121.02</v>
      </c>
      <c r="C7" s="4"/>
      <c r="D7" s="4">
        <v>101.6</v>
      </c>
      <c r="E7" s="4"/>
      <c r="F7" s="4">
        <f>H7/B7/(D7*0.01)</f>
        <v>0.944881889780331</v>
      </c>
      <c r="G7" s="4">
        <f>100-100*F7</f>
        <v>5.51181102196688</v>
      </c>
      <c r="H7" s="4">
        <v>45669236.18</v>
      </c>
      <c r="I7" s="4">
        <f>100-100*H7/B7</f>
        <v>3.99999999831834</v>
      </c>
      <c r="J7" s="4"/>
      <c r="K7" s="4">
        <v>8</v>
      </c>
      <c r="L7" s="7">
        <v>44235.375</v>
      </c>
      <c r="M7" s="8"/>
      <c r="S7" s="35" t="s">
        <v>43</v>
      </c>
      <c r="T7" t="str">
        <f>_xlfn.DISPIMG("ID_A8CF580EBC2A49AE915DAA560CE19244",1)</f>
        <v>=DISPIMG("ID_A8CF580EBC2A49AE915DAA560CE19244",1)</v>
      </c>
      <c r="U7" s="120" t="s">
        <v>26</v>
      </c>
      <c r="V7" s="82" t="s">
        <v>29</v>
      </c>
      <c r="W7" s="5" t="s">
        <v>44</v>
      </c>
    </row>
    <row r="8" customFormat="1" customHeight="1" spans="1:23">
      <c r="A8" s="3" t="s">
        <v>45</v>
      </c>
      <c r="B8" s="4">
        <v>19823775.75</v>
      </c>
      <c r="C8" s="4"/>
      <c r="D8" s="4">
        <v>101.6</v>
      </c>
      <c r="E8" s="4">
        <v>20</v>
      </c>
      <c r="F8" s="4">
        <f>H8/B8/(D8*0.01)</f>
        <v>0.894852361776369</v>
      </c>
      <c r="G8" s="4">
        <f>100-100*F8</f>
        <v>10.5147638223632</v>
      </c>
      <c r="H8" s="4">
        <v>18023182.19</v>
      </c>
      <c r="I8" s="4">
        <f>100-100*H8/B8</f>
        <v>9.08300004352095</v>
      </c>
      <c r="J8" s="4"/>
      <c r="K8" s="4">
        <v>14.36</v>
      </c>
      <c r="L8" s="7">
        <v>44258.375</v>
      </c>
      <c r="M8" s="8">
        <v>172</v>
      </c>
      <c r="S8" s="35" t="s">
        <v>46</v>
      </c>
      <c r="T8" t="str">
        <f>_xlfn.DISPIMG("ID_A8CF580EBC2A49AE915DAA560CE19244",1)</f>
        <v>=DISPIMG("ID_A8CF580EBC2A49AE915DAA560CE19244",1)</v>
      </c>
      <c r="U8" s="120" t="s">
        <v>26</v>
      </c>
      <c r="V8" s="82" t="s">
        <v>29</v>
      </c>
      <c r="W8" s="82" t="s">
        <v>47</v>
      </c>
    </row>
    <row r="9" customFormat="1" customHeight="1" spans="1:23">
      <c r="A9" s="3" t="s">
        <v>48</v>
      </c>
      <c r="B9" s="4">
        <v>14081190.49</v>
      </c>
      <c r="C9" s="4"/>
      <c r="D9" s="4">
        <v>101.6</v>
      </c>
      <c r="E9" s="4">
        <v>16</v>
      </c>
      <c r="F9" s="4">
        <f>H9/B9/(D9*0.01)</f>
        <v>0.879333148549547</v>
      </c>
      <c r="G9" s="4">
        <f>100-100*F9</f>
        <v>12.0666851450453</v>
      </c>
      <c r="H9" s="4">
        <v>12580170.49</v>
      </c>
      <c r="I9" s="4">
        <f>100-100*H9/B9</f>
        <v>10.659752107366</v>
      </c>
      <c r="J9" s="4"/>
      <c r="K9" s="4">
        <v>12.3</v>
      </c>
      <c r="L9" s="7">
        <v>44258.375</v>
      </c>
      <c r="M9" s="8"/>
      <c r="S9" s="35" t="s">
        <v>49</v>
      </c>
      <c r="T9" t="str">
        <f>_xlfn.DISPIMG("ID_A8CF580EBC2A49AE915DAA560CE19244",1)</f>
        <v>=DISPIMG("ID_A8CF580EBC2A49AE915DAA560CE19244",1)</v>
      </c>
      <c r="U9" s="120" t="s">
        <v>26</v>
      </c>
      <c r="V9" s="82" t="s">
        <v>29</v>
      </c>
      <c r="W9" s="82" t="s">
        <v>50</v>
      </c>
    </row>
    <row r="10" customFormat="1" customHeight="1" spans="1:23">
      <c r="A10" s="3" t="s">
        <v>51</v>
      </c>
      <c r="B10" s="4">
        <v>4700756.99</v>
      </c>
      <c r="C10" s="4"/>
      <c r="D10" s="4">
        <v>98</v>
      </c>
      <c r="E10" s="4">
        <v>12</v>
      </c>
      <c r="F10" s="4">
        <f>H10/B10/(D10*0.01)</f>
        <v>0.886125509685935</v>
      </c>
      <c r="G10" s="4">
        <f>100-100*F10</f>
        <v>11.3874490314065</v>
      </c>
      <c r="H10" s="4">
        <v>4082151.47</v>
      </c>
      <c r="I10" s="4">
        <f>100-100*H10/B10</f>
        <v>13.1597000507784</v>
      </c>
      <c r="J10" s="4"/>
      <c r="K10" s="4">
        <v>11.23</v>
      </c>
      <c r="L10" s="7">
        <v>44271.3958333333</v>
      </c>
      <c r="M10" s="8"/>
      <c r="S10" s="35" t="s">
        <v>52</v>
      </c>
      <c r="T10" t="str">
        <f>_xlfn.DISPIMG("ID_A8CF580EBC2A49AE915DAA560CE19244",1)</f>
        <v>=DISPIMG("ID_A8CF580EBC2A49AE915DAA560CE19244",1)</v>
      </c>
      <c r="U10" s="120" t="s">
        <v>26</v>
      </c>
      <c r="V10" s="82" t="s">
        <v>29</v>
      </c>
      <c r="W10" s="82" t="s">
        <v>53</v>
      </c>
    </row>
    <row r="11" customFormat="1" customHeight="1" spans="1:23">
      <c r="A11" s="3" t="s">
        <v>54</v>
      </c>
      <c r="B11" s="4">
        <v>8082075.81</v>
      </c>
      <c r="C11" s="4"/>
      <c r="D11" s="4">
        <v>0.2</v>
      </c>
      <c r="E11" s="4"/>
      <c r="F11" s="4">
        <f>(H11/B11-D11)/(1-D11)</f>
        <v>0.96792596746256</v>
      </c>
      <c r="G11" s="4">
        <f>100-100*F11</f>
        <v>3.20740325374405</v>
      </c>
      <c r="H11" s="4">
        <v>7874696</v>
      </c>
      <c r="I11" s="4">
        <f>100-100*H11/B11</f>
        <v>2.56592260299523</v>
      </c>
      <c r="J11" s="4"/>
      <c r="K11" s="4">
        <v>5.6</v>
      </c>
      <c r="L11" s="7">
        <v>44295.3958333333</v>
      </c>
      <c r="M11" s="8"/>
      <c r="S11" s="35" t="s">
        <v>55</v>
      </c>
      <c r="T11" t="str">
        <f>_xlfn.DISPIMG("ID_2075DED061DC483A94E38AC7E8DD6DB4",1)</f>
        <v>=DISPIMG("ID_2075DED061DC483A94E38AC7E8DD6DB4",1)</v>
      </c>
      <c r="U11" t="s">
        <v>39</v>
      </c>
      <c r="V11" s="5" t="s">
        <v>40</v>
      </c>
      <c r="W11" s="36" t="s">
        <v>56</v>
      </c>
    </row>
    <row r="12" customFormat="1" customHeight="1" spans="1:23">
      <c r="A12" s="3" t="s">
        <v>57</v>
      </c>
      <c r="B12" s="4">
        <v>1175610.07</v>
      </c>
      <c r="C12" s="4"/>
      <c r="D12" s="4">
        <v>100.4</v>
      </c>
      <c r="E12" s="4">
        <v>12</v>
      </c>
      <c r="F12" s="4">
        <f>H12/B12/(D12*0.01)</f>
        <v>0.932669272258118</v>
      </c>
      <c r="G12" s="4">
        <f>100-100*F12</f>
        <v>6.73307277418822</v>
      </c>
      <c r="H12" s="4">
        <v>1100841.21</v>
      </c>
      <c r="I12" s="4">
        <f>100-100*H12/B12</f>
        <v>6.36000506528497</v>
      </c>
      <c r="J12" s="4"/>
      <c r="K12" s="4">
        <v>7.58</v>
      </c>
      <c r="L12" s="7">
        <v>44307.375</v>
      </c>
      <c r="M12" s="8">
        <v>160</v>
      </c>
      <c r="S12" t="s">
        <v>58</v>
      </c>
      <c r="T12" t="str">
        <f>_xlfn.DISPIMG("ID_A7C8554973CD403FAE9FF1334A4E7093",1)</f>
        <v>=DISPIMG("ID_A7C8554973CD403FAE9FF1334A4E7093",1)</v>
      </c>
      <c r="U12" t="s">
        <v>26</v>
      </c>
      <c r="V12" s="82" t="s">
        <v>59</v>
      </c>
      <c r="W12" s="20" t="s">
        <v>60</v>
      </c>
    </row>
    <row r="13" customFormat="1" customHeight="1" spans="1:23">
      <c r="A13" s="3" t="s">
        <v>61</v>
      </c>
      <c r="B13" s="4">
        <v>1008729.45</v>
      </c>
      <c r="C13" s="4"/>
      <c r="D13" s="4">
        <v>98.8</v>
      </c>
      <c r="E13" s="4">
        <v>20</v>
      </c>
      <c r="F13" s="4">
        <f>H13/B13/(D13*0.01)</f>
        <v>0.933198457927919</v>
      </c>
      <c r="G13" s="4">
        <f>100-100*F13</f>
        <v>6.6801542072081</v>
      </c>
      <c r="H13" s="4">
        <v>930048.63</v>
      </c>
      <c r="I13" s="4">
        <f>100-100*H13/B13</f>
        <v>7.79999235672162</v>
      </c>
      <c r="J13" s="4"/>
      <c r="K13" s="4">
        <v>6.6</v>
      </c>
      <c r="L13" s="7">
        <v>44307.375</v>
      </c>
      <c r="M13" s="8">
        <v>159</v>
      </c>
      <c r="S13" t="s">
        <v>62</v>
      </c>
      <c r="T13" t="str">
        <f>_xlfn.DISPIMG("ID_A7C8554973CD403FAE9FF1334A4E7093",1)</f>
        <v>=DISPIMG("ID_A7C8554973CD403FAE9FF1334A4E7093",1)</v>
      </c>
      <c r="U13" t="s">
        <v>26</v>
      </c>
      <c r="V13" s="82" t="s">
        <v>59</v>
      </c>
      <c r="W13" s="20" t="s">
        <v>63</v>
      </c>
    </row>
    <row r="14" customFormat="1" customHeight="1" spans="1:23">
      <c r="A14" s="3" t="s">
        <v>64</v>
      </c>
      <c r="B14" s="4">
        <v>1078663.83</v>
      </c>
      <c r="C14" s="4"/>
      <c r="D14" s="4">
        <v>98.8</v>
      </c>
      <c r="E14" s="4">
        <v>17</v>
      </c>
      <c r="F14" s="4">
        <f>H14/B14/(D14*0.01)</f>
        <v>0.934280699456521</v>
      </c>
      <c r="G14" s="4">
        <f>100-100*F14</f>
        <v>6.57193005434787</v>
      </c>
      <c r="H14" s="4">
        <v>995681.5</v>
      </c>
      <c r="I14" s="4">
        <f>100-100*H14/B14</f>
        <v>7.6930668936957</v>
      </c>
      <c r="J14" s="4"/>
      <c r="K14" s="4">
        <v>7.3</v>
      </c>
      <c r="L14" s="7">
        <v>44307.375</v>
      </c>
      <c r="M14" s="8">
        <v>159</v>
      </c>
      <c r="S14" t="s">
        <v>65</v>
      </c>
      <c r="T14" t="str">
        <f>_xlfn.DISPIMG("ID_A7C8554973CD403FAE9FF1334A4E7093",1)</f>
        <v>=DISPIMG("ID_A7C8554973CD403FAE9FF1334A4E7093",1)</v>
      </c>
      <c r="U14" t="s">
        <v>26</v>
      </c>
      <c r="V14" s="82" t="s">
        <v>59</v>
      </c>
      <c r="W14" s="20" t="s">
        <v>66</v>
      </c>
    </row>
    <row r="15" s="13" customFormat="1" customHeight="1" spans="1:24">
      <c r="A15" s="3" t="s">
        <v>67</v>
      </c>
      <c r="B15" s="4">
        <v>1456496.77</v>
      </c>
      <c r="C15" s="4"/>
      <c r="D15" s="4">
        <v>101.2</v>
      </c>
      <c r="E15" s="4">
        <v>11</v>
      </c>
      <c r="F15" s="4">
        <f>H15/B15/(D15*0.01)</f>
        <v>0.825405622100792</v>
      </c>
      <c r="G15" s="4">
        <f>100-100*F15</f>
        <v>17.4594377899208</v>
      </c>
      <c r="H15" s="4">
        <v>1216627.03</v>
      </c>
      <c r="I15" s="4">
        <f>100-100*H15/B15</f>
        <v>16.4689510433998</v>
      </c>
      <c r="J15" s="4"/>
      <c r="K15" s="4">
        <v>6.8</v>
      </c>
      <c r="L15" s="7">
        <v>44307.375</v>
      </c>
      <c r="M15" s="8">
        <v>159</v>
      </c>
      <c r="N15"/>
      <c r="O15"/>
      <c r="P15"/>
      <c r="Q15"/>
      <c r="R15"/>
      <c r="S15" t="s">
        <v>68</v>
      </c>
      <c r="T15" t="str">
        <f>_xlfn.DISPIMG("ID_A7C8554973CD403FAE9FF1334A4E7093",1)</f>
        <v>=DISPIMG("ID_A7C8554973CD403FAE9FF1334A4E7093",1)</v>
      </c>
      <c r="U15" t="s">
        <v>26</v>
      </c>
      <c r="V15" s="82" t="s">
        <v>59</v>
      </c>
      <c r="W15" s="20" t="s">
        <v>69</v>
      </c>
      <c r="X15"/>
    </row>
    <row r="16" customFormat="1" customHeight="1" spans="1:23">
      <c r="A16" s="3" t="s">
        <v>70</v>
      </c>
      <c r="B16" s="4">
        <v>4438756.66</v>
      </c>
      <c r="C16" s="4"/>
      <c r="D16" s="4">
        <v>0.1</v>
      </c>
      <c r="E16" s="4"/>
      <c r="F16" s="4"/>
      <c r="G16" s="4"/>
      <c r="H16" s="4">
        <v>4295143</v>
      </c>
      <c r="I16" s="4">
        <f>100-100*H16/B16</f>
        <v>3.23544791932794</v>
      </c>
      <c r="J16" s="4"/>
      <c r="K16" s="4">
        <v>8</v>
      </c>
      <c r="L16" s="7">
        <v>44314.375</v>
      </c>
      <c r="M16" s="8">
        <v>58</v>
      </c>
      <c r="S16" t="s">
        <v>71</v>
      </c>
      <c r="T16" t="str">
        <f>_xlfn.DISPIMG("ID_5C1B5B8EA2164BF49185CA64500D4BE4",1)</f>
        <v>=DISPIMG("ID_5C1B5B8EA2164BF49185CA64500D4BE4",1)</v>
      </c>
      <c r="U16" t="s">
        <v>39</v>
      </c>
      <c r="V16" s="5" t="s">
        <v>40</v>
      </c>
      <c r="W16" s="20" t="s">
        <v>72</v>
      </c>
    </row>
    <row r="17" customFormat="1" customHeight="1" spans="1:23">
      <c r="A17" s="3" t="s">
        <v>73</v>
      </c>
      <c r="B17" s="4">
        <v>4927457.66</v>
      </c>
      <c r="C17" s="4"/>
      <c r="D17" s="4">
        <v>0.2</v>
      </c>
      <c r="E17" s="4"/>
      <c r="F17" s="4"/>
      <c r="G17" s="4"/>
      <c r="H17" s="4">
        <v>4818933</v>
      </c>
      <c r="I17" s="4">
        <f>100-100*H17/B17</f>
        <v>2.20244733670629</v>
      </c>
      <c r="J17" s="4"/>
      <c r="K17" s="4">
        <v>7.3</v>
      </c>
      <c r="L17" s="7">
        <v>44314.375</v>
      </c>
      <c r="M17" s="8">
        <v>80</v>
      </c>
      <c r="S17" t="s">
        <v>74</v>
      </c>
      <c r="T17" t="str">
        <f>_xlfn.DISPIMG("ID_5C1B5B8EA2164BF49185CA64500D4BE4",1)</f>
        <v>=DISPIMG("ID_5C1B5B8EA2164BF49185CA64500D4BE4",1)</v>
      </c>
      <c r="U17" t="s">
        <v>39</v>
      </c>
      <c r="V17" s="5" t="s">
        <v>40</v>
      </c>
      <c r="W17" s="20" t="s">
        <v>75</v>
      </c>
    </row>
    <row r="18" customFormat="1" customHeight="1" spans="1:23">
      <c r="A18" s="3" t="s">
        <v>76</v>
      </c>
      <c r="B18" s="4">
        <v>22074384.99</v>
      </c>
      <c r="C18" s="4"/>
      <c r="D18" s="4">
        <v>100.8</v>
      </c>
      <c r="E18" s="4">
        <v>18</v>
      </c>
      <c r="F18" s="4">
        <f>H18/B18/(D18*0.01)</f>
        <v>0.880257904076691</v>
      </c>
      <c r="G18" s="4">
        <f>100-100*F18</f>
        <v>11.9742095923309</v>
      </c>
      <c r="H18" s="4">
        <v>19586601.08</v>
      </c>
      <c r="I18" s="4">
        <f>100-100*H18/B18</f>
        <v>11.2700032690696</v>
      </c>
      <c r="J18" s="4"/>
      <c r="K18" s="4">
        <v>6.5</v>
      </c>
      <c r="L18" s="7">
        <v>44316.375</v>
      </c>
      <c r="M18" s="8"/>
      <c r="S18" t="s">
        <v>77</v>
      </c>
      <c r="T18" t="str">
        <f>_xlfn.DISPIMG("ID_A7C8554973CD403FAE9FF1334A4E7093",1)</f>
        <v>=DISPIMG("ID_A7C8554973CD403FAE9FF1334A4E7093",1)</v>
      </c>
      <c r="U18" t="s">
        <v>26</v>
      </c>
      <c r="V18" s="82" t="s">
        <v>29</v>
      </c>
      <c r="W18" s="20" t="s">
        <v>78</v>
      </c>
    </row>
    <row r="19" s="13" customFormat="1" customHeight="1" spans="1:24">
      <c r="A19" s="3" t="s">
        <v>79</v>
      </c>
      <c r="B19" s="4">
        <v>20889294.03</v>
      </c>
      <c r="C19" s="4"/>
      <c r="D19" s="4">
        <v>101.2</v>
      </c>
      <c r="E19" s="4">
        <v>13</v>
      </c>
      <c r="F19" s="4"/>
      <c r="G19" s="4"/>
      <c r="H19" s="4">
        <v>19589279.37</v>
      </c>
      <c r="I19" s="4">
        <f>100-100*H19/B19</f>
        <v>6.22335373389352</v>
      </c>
      <c r="J19" s="4"/>
      <c r="K19" s="4">
        <v>6.5</v>
      </c>
      <c r="L19" s="7">
        <v>44323.375</v>
      </c>
      <c r="M19" s="8">
        <v>274</v>
      </c>
      <c r="N19"/>
      <c r="O19"/>
      <c r="P19"/>
      <c r="Q19"/>
      <c r="R19"/>
      <c r="S19" s="20" t="s">
        <v>80</v>
      </c>
      <c r="T19" t="str">
        <f>_xlfn.DISPIMG("ID_87ED0F4657E5454A80DCDDB38A3AE5EE",1)</f>
        <v>=DISPIMG("ID_87ED0F4657E5454A80DCDDB38A3AE5EE",1)</v>
      </c>
      <c r="U19" t="s">
        <v>81</v>
      </c>
      <c r="V19" s="82" t="s">
        <v>82</v>
      </c>
      <c r="W19" s="20" t="s">
        <v>83</v>
      </c>
      <c r="X19"/>
    </row>
    <row r="20" s="13" customFormat="1" customHeight="1" spans="1:24">
      <c r="A20" s="3" t="s">
        <v>84</v>
      </c>
      <c r="B20" s="4">
        <v>4388186.96</v>
      </c>
      <c r="C20" s="4"/>
      <c r="D20" s="4"/>
      <c r="E20" s="4"/>
      <c r="F20" s="4"/>
      <c r="G20" s="4"/>
      <c r="H20" s="4">
        <v>4105716.15</v>
      </c>
      <c r="I20" s="4">
        <f>100-100*H20/B20</f>
        <v>6.43707327365104</v>
      </c>
      <c r="J20" s="4"/>
      <c r="K20" s="4">
        <v>9.5</v>
      </c>
      <c r="L20" s="7">
        <v>44323.375</v>
      </c>
      <c r="M20" s="8">
        <v>59</v>
      </c>
      <c r="N20"/>
      <c r="O20"/>
      <c r="P20"/>
      <c r="Q20"/>
      <c r="R20"/>
      <c r="S20" t="s">
        <v>85</v>
      </c>
      <c r="T20" t="str">
        <f>_xlfn.DISPIMG("ID_A7C8554973CD403FAE9FF1334A4E7093",1)</f>
        <v>=DISPIMG("ID_A7C8554973CD403FAE9FF1334A4E7093",1)</v>
      </c>
      <c r="U20" t="s">
        <v>26</v>
      </c>
      <c r="V20" s="86" t="s">
        <v>86</v>
      </c>
      <c r="W20" s="20" t="s">
        <v>87</v>
      </c>
      <c r="X20"/>
    </row>
    <row r="21" s="13" customFormat="1" customHeight="1" spans="1:24">
      <c r="A21" s="3" t="s">
        <v>88</v>
      </c>
      <c r="B21" s="4">
        <v>4320323.45</v>
      </c>
      <c r="C21" s="4"/>
      <c r="D21" s="4"/>
      <c r="E21" s="4"/>
      <c r="F21" s="4"/>
      <c r="G21" s="4"/>
      <c r="H21" s="4">
        <v>3954493.89</v>
      </c>
      <c r="I21" s="4">
        <f>100-100*H21/B21</f>
        <v>8.46764285669398</v>
      </c>
      <c r="J21" s="4"/>
      <c r="K21" s="4">
        <v>6.6</v>
      </c>
      <c r="L21" s="7">
        <v>44323.375</v>
      </c>
      <c r="M21" s="8">
        <v>54</v>
      </c>
      <c r="N21"/>
      <c r="O21"/>
      <c r="P21"/>
      <c r="Q21"/>
      <c r="R21"/>
      <c r="S21" t="s">
        <v>89</v>
      </c>
      <c r="T21" t="str">
        <f>_xlfn.DISPIMG("ID_A7C8554973CD403FAE9FF1334A4E7093",1)</f>
        <v>=DISPIMG("ID_A7C8554973CD403FAE9FF1334A4E7093",1)</v>
      </c>
      <c r="U21" t="s">
        <v>26</v>
      </c>
      <c r="V21" s="86" t="s">
        <v>86</v>
      </c>
      <c r="W21" s="20" t="s">
        <v>90</v>
      </c>
      <c r="X21"/>
    </row>
    <row r="22" s="13" customFormat="1" customHeight="1" spans="1:24">
      <c r="A22" s="3" t="s">
        <v>91</v>
      </c>
      <c r="B22" s="4">
        <v>70472614.02</v>
      </c>
      <c r="C22" s="4"/>
      <c r="D22" s="4">
        <v>99.2</v>
      </c>
      <c r="E22" s="4"/>
      <c r="F22" s="4"/>
      <c r="G22" s="4"/>
      <c r="H22" s="4">
        <v>67232764.56</v>
      </c>
      <c r="I22" s="4">
        <f>100-100*H22/B22</f>
        <v>4.59731699335083</v>
      </c>
      <c r="J22" s="4"/>
      <c r="K22" s="4">
        <v>7.6</v>
      </c>
      <c r="L22" s="7">
        <v>44323.375</v>
      </c>
      <c r="M22" s="8"/>
      <c r="N22"/>
      <c r="O22"/>
      <c r="P22"/>
      <c r="Q22"/>
      <c r="R22"/>
      <c r="S22" s="35" t="s">
        <v>92</v>
      </c>
      <c r="T22" t="str">
        <f>_xlfn.DISPIMG("ID_87ED0F4657E5454A80DCDDB38A3AE5EE",1)</f>
        <v>=DISPIMG("ID_87ED0F4657E5454A80DCDDB38A3AE5EE",1)</v>
      </c>
      <c r="U22" t="s">
        <v>81</v>
      </c>
      <c r="V22" s="82" t="s">
        <v>82</v>
      </c>
      <c r="W22" s="20" t="s">
        <v>93</v>
      </c>
      <c r="X22"/>
    </row>
    <row r="23" customFormat="1" customHeight="1" spans="1:23">
      <c r="A23" s="3" t="s">
        <v>94</v>
      </c>
      <c r="B23" s="4">
        <v>780000</v>
      </c>
      <c r="C23" s="4"/>
      <c r="D23" s="4"/>
      <c r="E23" s="4"/>
      <c r="F23" s="4"/>
      <c r="G23" s="4"/>
      <c r="H23" s="4">
        <v>679074.92</v>
      </c>
      <c r="I23" s="4">
        <f>100-100*H23/B23</f>
        <v>12.9391128205128</v>
      </c>
      <c r="J23" s="4"/>
      <c r="K23" s="4">
        <v>10</v>
      </c>
      <c r="L23" s="7">
        <v>44324.375</v>
      </c>
      <c r="M23" s="8">
        <v>21</v>
      </c>
      <c r="S23" s="35" t="s">
        <v>95</v>
      </c>
      <c r="T23" t="str">
        <f>_xlfn.DISPIMG("ID_1DE4FB44CB4540119B5BFE96902CB991",1)</f>
        <v>=DISPIMG("ID_1DE4FB44CB4540119B5BFE96902CB991",1)</v>
      </c>
      <c r="U23" t="s">
        <v>96</v>
      </c>
      <c r="V23" s="82" t="s">
        <v>97</v>
      </c>
      <c r="W23" s="20" t="s">
        <v>98</v>
      </c>
    </row>
    <row r="24" customFormat="1" customHeight="1" spans="1:23">
      <c r="A24" s="3" t="s">
        <v>99</v>
      </c>
      <c r="B24" s="4">
        <v>5453643.09</v>
      </c>
      <c r="C24" s="4"/>
      <c r="D24" s="4">
        <v>99.6</v>
      </c>
      <c r="E24" s="4">
        <v>16</v>
      </c>
      <c r="F24" s="4">
        <f>H24/B24/(D24*0.01)</f>
        <v>0.917460986446091</v>
      </c>
      <c r="G24" s="4">
        <f>100-100*F24</f>
        <v>8.25390135539095</v>
      </c>
      <c r="H24" s="4">
        <v>4983490.75</v>
      </c>
      <c r="I24" s="4">
        <f>100-100*H24/B24</f>
        <v>8.62088574996937</v>
      </c>
      <c r="J24" s="4"/>
      <c r="K24" s="4">
        <v>7</v>
      </c>
      <c r="L24" s="7">
        <v>44324.375</v>
      </c>
      <c r="M24" s="8">
        <v>15</v>
      </c>
      <c r="S24" t="s">
        <v>100</v>
      </c>
      <c r="T24" t="str">
        <f>_xlfn.DISPIMG("ID_A7C8554973CD403FAE9FF1334A4E7093",1)</f>
        <v>=DISPIMG("ID_A7C8554973CD403FAE9FF1334A4E7093",1)</v>
      </c>
      <c r="U24" t="s">
        <v>26</v>
      </c>
      <c r="V24" s="82" t="s">
        <v>101</v>
      </c>
      <c r="W24" s="20" t="s">
        <v>102</v>
      </c>
    </row>
    <row r="25" customFormat="1" customHeight="1" spans="1:23">
      <c r="A25" s="3" t="s">
        <v>103</v>
      </c>
      <c r="B25" s="4">
        <v>10587688.14</v>
      </c>
      <c r="C25" s="4"/>
      <c r="D25" s="4">
        <v>0.4</v>
      </c>
      <c r="E25" s="4"/>
      <c r="F25" s="4"/>
      <c r="G25" s="4"/>
      <c r="H25" s="4">
        <v>10216847.67</v>
      </c>
      <c r="I25" s="4">
        <f>100-100*H25/B25</f>
        <v>3.5025632139558</v>
      </c>
      <c r="J25" s="4"/>
      <c r="K25" s="4">
        <v>5.6</v>
      </c>
      <c r="L25" s="7">
        <v>44327.375</v>
      </c>
      <c r="M25" s="8">
        <v>148</v>
      </c>
      <c r="S25" t="s">
        <v>104</v>
      </c>
      <c r="T25" t="str">
        <f>_xlfn.DISPIMG("ID_C2B55CD9CA50489184D513F65D99F452",1)</f>
        <v>=DISPIMG("ID_C2B55CD9CA50489184D513F65D99F452",1)</v>
      </c>
      <c r="U25" t="s">
        <v>105</v>
      </c>
      <c r="V25" s="86" t="s">
        <v>59</v>
      </c>
      <c r="W25" s="20" t="s">
        <v>106</v>
      </c>
    </row>
    <row r="26" customFormat="1" customHeight="1" spans="1:23">
      <c r="A26" s="3" t="s">
        <v>107</v>
      </c>
      <c r="B26" s="4">
        <v>4981247.48</v>
      </c>
      <c r="C26" s="4"/>
      <c r="D26" s="4">
        <v>100.4</v>
      </c>
      <c r="E26" s="4">
        <v>20</v>
      </c>
      <c r="F26" s="4">
        <f>H26/B26/(D26*0.01)</f>
        <v>0.895678402802944</v>
      </c>
      <c r="G26" s="4">
        <f>100-100*F26</f>
        <v>10.4321597197056</v>
      </c>
      <c r="H26" s="4">
        <v>4479442.17</v>
      </c>
      <c r="I26" s="4">
        <f>100-100*H26/B26</f>
        <v>10.0738883585844</v>
      </c>
      <c r="J26" s="4"/>
      <c r="K26" s="4">
        <v>8.8</v>
      </c>
      <c r="L26" s="7">
        <v>44327.375</v>
      </c>
      <c r="M26" s="8">
        <v>9</v>
      </c>
      <c r="N26"/>
      <c r="O26"/>
      <c r="P26"/>
      <c r="Q26"/>
      <c r="R26"/>
      <c r="S26" s="35" t="s">
        <v>108</v>
      </c>
      <c r="T26" t="str">
        <f>_xlfn.DISPIMG("ID_A7C8554973CD403FAE9FF1334A4E7093",1)</f>
        <v>=DISPIMG("ID_A7C8554973CD403FAE9FF1334A4E7093",1)</v>
      </c>
      <c r="U26" t="s">
        <v>26</v>
      </c>
      <c r="V26" s="82" t="s">
        <v>109</v>
      </c>
      <c r="W26" s="20" t="s">
        <v>110</v>
      </c>
    </row>
    <row r="27" s="13" customFormat="1" customHeight="1" spans="1:24">
      <c r="A27" s="3" t="s">
        <v>111</v>
      </c>
      <c r="B27" s="4">
        <v>42605452.66</v>
      </c>
      <c r="C27" s="4"/>
      <c r="D27" s="4">
        <v>98.8</v>
      </c>
      <c r="E27" s="4">
        <v>14</v>
      </c>
      <c r="F27" s="4">
        <f>H27/B27/(D27*0.01)</f>
        <v>0.894564777221322</v>
      </c>
      <c r="G27" s="4">
        <f>100-100*F27</f>
        <v>10.5435222778678</v>
      </c>
      <c r="H27" s="4">
        <v>37655977.22</v>
      </c>
      <c r="I27" s="4">
        <f>100-100*H27/B27</f>
        <v>11.6170000105334</v>
      </c>
      <c r="J27" s="4"/>
      <c r="K27" s="4">
        <v>8.3</v>
      </c>
      <c r="L27" s="7">
        <v>44336.375</v>
      </c>
      <c r="M27" s="8">
        <v>84</v>
      </c>
      <c r="N27"/>
      <c r="O27"/>
      <c r="P27"/>
      <c r="Q27"/>
      <c r="R27"/>
      <c r="S27" t="s">
        <v>112</v>
      </c>
      <c r="T27" t="str">
        <f>_xlfn.DISPIMG("ID_A7C8554973CD403FAE9FF1334A4E7093",1)</f>
        <v>=DISPIMG("ID_A7C8554973CD403FAE9FF1334A4E7093",1)</v>
      </c>
      <c r="U27" t="s">
        <v>26</v>
      </c>
      <c r="V27" s="82" t="s">
        <v>109</v>
      </c>
      <c r="W27" s="20" t="s">
        <v>113</v>
      </c>
      <c r="X27"/>
    </row>
    <row r="28" customFormat="1" customHeight="1" spans="1:24">
      <c r="A28" s="3" t="s">
        <v>114</v>
      </c>
      <c r="B28" s="4">
        <v>6695462.03</v>
      </c>
      <c r="C28" s="4"/>
      <c r="D28" s="4">
        <v>98.8</v>
      </c>
      <c r="E28" s="4">
        <v>11</v>
      </c>
      <c r="F28" s="4">
        <f>H28/B28/(D28*0.01)</f>
        <v>0.880540485212099</v>
      </c>
      <c r="G28" s="4">
        <f>100-100*F28</f>
        <v>11.9459514787901</v>
      </c>
      <c r="H28" s="4">
        <v>5824877.88</v>
      </c>
      <c r="I28" s="4">
        <f>100-100*H28/B28</f>
        <v>13.0026000610446</v>
      </c>
      <c r="J28" s="4"/>
      <c r="K28" s="4">
        <v>6.5</v>
      </c>
      <c r="L28" s="7">
        <v>44336.3958333333</v>
      </c>
      <c r="M28" s="8">
        <v>727</v>
      </c>
      <c r="N28" s="119"/>
      <c r="O28" s="119"/>
      <c r="P28" s="119"/>
      <c r="Q28" s="119"/>
      <c r="R28" s="119"/>
      <c r="S28" s="121" t="s">
        <v>115</v>
      </c>
      <c r="T28" s="119" t="str">
        <f>_xlfn.DISPIMG("ID_A7C8554973CD403FAE9FF1334A4E7093",1)</f>
        <v>=DISPIMG("ID_A7C8554973CD403FAE9FF1334A4E7093",1)</v>
      </c>
      <c r="U28" s="119" t="s">
        <v>26</v>
      </c>
      <c r="V28" s="82" t="s">
        <v>29</v>
      </c>
      <c r="W28" s="20" t="s">
        <v>116</v>
      </c>
      <c r="X28" s="119"/>
    </row>
    <row r="29" customFormat="1" customHeight="1" spans="1:23">
      <c r="A29" s="3" t="s">
        <v>117</v>
      </c>
      <c r="B29" s="4">
        <v>13614782</v>
      </c>
      <c r="C29" s="4"/>
      <c r="D29" s="4"/>
      <c r="E29" s="4"/>
      <c r="F29" s="4"/>
      <c r="G29" s="4"/>
      <c r="H29" s="4">
        <v>12235544.33</v>
      </c>
      <c r="I29" s="4">
        <f>100-100*H29/B29</f>
        <v>10.1304425586836</v>
      </c>
      <c r="J29" s="4"/>
      <c r="K29" s="4">
        <v>7.6</v>
      </c>
      <c r="L29" s="7">
        <v>44343.3958333333</v>
      </c>
      <c r="M29" s="8"/>
      <c r="S29" t="s">
        <v>118</v>
      </c>
      <c r="T29" t="str">
        <f>_xlfn.DISPIMG("ID_B45AC5B0931F41358AA01BD5585B5788",1)</f>
        <v>=DISPIMG("ID_B45AC5B0931F41358AA01BD5585B5788",1)</v>
      </c>
      <c r="U29" t="s">
        <v>119</v>
      </c>
      <c r="V29" s="82" t="s">
        <v>120</v>
      </c>
      <c r="W29" s="20" t="s">
        <v>121</v>
      </c>
    </row>
    <row r="30" customFormat="1" customHeight="1" spans="1:23">
      <c r="A30" s="3" t="s">
        <v>122</v>
      </c>
      <c r="B30" s="4">
        <v>4892322.24</v>
      </c>
      <c r="C30" s="4"/>
      <c r="D30" s="4">
        <v>99.6</v>
      </c>
      <c r="E30" s="4">
        <v>19</v>
      </c>
      <c r="F30" s="4">
        <f>H30/B30/(D30*0.01)</f>
        <v>0.933232960031236</v>
      </c>
      <c r="G30" s="4">
        <f>100-100*F30</f>
        <v>6.6767039968764</v>
      </c>
      <c r="H30" s="4">
        <v>4547413.66</v>
      </c>
      <c r="I30" s="4">
        <f>100-100*H30/B30</f>
        <v>7.04999718088889</v>
      </c>
      <c r="J30" s="4"/>
      <c r="K30" s="4">
        <v>11.2</v>
      </c>
      <c r="L30" s="7">
        <v>44344.375</v>
      </c>
      <c r="M30" s="8">
        <v>309</v>
      </c>
      <c r="S30" t="s">
        <v>123</v>
      </c>
      <c r="T30" t="str">
        <f>_xlfn.DISPIMG("ID_A7C8554973CD403FAE9FF1334A4E7093",1)</f>
        <v>=DISPIMG("ID_A7C8554973CD403FAE9FF1334A4E7093",1)</v>
      </c>
      <c r="U30" t="s">
        <v>26</v>
      </c>
      <c r="V30" s="82" t="s">
        <v>59</v>
      </c>
      <c r="W30" s="20" t="s">
        <v>124</v>
      </c>
    </row>
    <row r="31" customFormat="1" customHeight="1" spans="1:23">
      <c r="A31" s="3" t="s">
        <v>125</v>
      </c>
      <c r="B31" s="4">
        <v>11261818.21</v>
      </c>
      <c r="C31" s="4"/>
      <c r="D31" s="4">
        <v>0.2</v>
      </c>
      <c r="E31" s="4"/>
      <c r="F31" s="4"/>
      <c r="G31" s="4"/>
      <c r="H31" s="4">
        <v>10696806.27</v>
      </c>
      <c r="I31" s="4">
        <f>100-100*H31/B31</f>
        <v>5.01705789832671</v>
      </c>
      <c r="J31" s="4"/>
      <c r="K31" s="4">
        <v>9.3</v>
      </c>
      <c r="L31" s="7">
        <v>44344.375</v>
      </c>
      <c r="M31" s="8">
        <v>3</v>
      </c>
      <c r="S31" t="s">
        <v>126</v>
      </c>
      <c r="T31" t="str">
        <f>_xlfn.DISPIMG("ID_209F34734E11484B9753758A911AC8EA",1)</f>
        <v>=DISPIMG("ID_209F34734E11484B9753758A911AC8EA",1)</v>
      </c>
      <c r="U31" t="s">
        <v>127</v>
      </c>
      <c r="V31" s="86" t="s">
        <v>101</v>
      </c>
      <c r="W31" s="20" t="s">
        <v>128</v>
      </c>
    </row>
    <row r="32" customFormat="1" customHeight="1" spans="1:23">
      <c r="A32" s="3" t="s">
        <v>129</v>
      </c>
      <c r="B32" s="4">
        <v>99324363.51</v>
      </c>
      <c r="C32" s="4"/>
      <c r="D32" s="4">
        <v>98.4</v>
      </c>
      <c r="E32" s="4">
        <v>15</v>
      </c>
      <c r="F32" s="4">
        <f>H32/B32/(D32*0.01)</f>
        <v>0.891605716719489</v>
      </c>
      <c r="G32" s="4">
        <f>100-100*F32</f>
        <v>10.8394283280511</v>
      </c>
      <c r="H32" s="4">
        <v>87141239.59</v>
      </c>
      <c r="I32" s="4">
        <f>100-100*H32/B32</f>
        <v>12.2659974748022</v>
      </c>
      <c r="J32" s="4"/>
      <c r="K32" s="4">
        <v>10.5</v>
      </c>
      <c r="L32" s="7">
        <v>44348.4583333333</v>
      </c>
      <c r="M32" s="8">
        <v>377</v>
      </c>
      <c r="S32" t="s">
        <v>130</v>
      </c>
      <c r="T32" t="str">
        <f>_xlfn.DISPIMG("ID_A7C8554973CD403FAE9FF1334A4E7093",1)</f>
        <v>=DISPIMG("ID_A7C8554973CD403FAE9FF1334A4E7093",1)</v>
      </c>
      <c r="U32" t="s">
        <v>26</v>
      </c>
      <c r="V32" s="82" t="s">
        <v>29</v>
      </c>
      <c r="W32" s="20" t="s">
        <v>131</v>
      </c>
    </row>
    <row r="33" customFormat="1" customHeight="1" spans="1:23">
      <c r="A33" s="3" t="s">
        <v>132</v>
      </c>
      <c r="B33" s="4">
        <v>22790848.39</v>
      </c>
      <c r="C33" s="4"/>
      <c r="D33" s="4">
        <v>102</v>
      </c>
      <c r="E33" s="4">
        <v>19</v>
      </c>
      <c r="F33" s="4">
        <f>H33/B33/(D33*0.01)</f>
        <v>0.914980385471207</v>
      </c>
      <c r="G33" s="4">
        <f>100-100*F33</f>
        <v>8.5019614528793</v>
      </c>
      <c r="H33" s="4">
        <v>21270242.83</v>
      </c>
      <c r="I33" s="4">
        <f>100-100*H33/B33</f>
        <v>6.67200068193689</v>
      </c>
      <c r="J33" s="4"/>
      <c r="K33" s="4">
        <v>6.6</v>
      </c>
      <c r="L33" s="7">
        <v>44357.3958333333</v>
      </c>
      <c r="M33" s="8">
        <v>55</v>
      </c>
      <c r="S33" s="35" t="s">
        <v>133</v>
      </c>
      <c r="T33" t="str">
        <f>_xlfn.DISPIMG("ID_A7C8554973CD403FAE9FF1334A4E7093",1)</f>
        <v>=DISPIMG("ID_A7C8554973CD403FAE9FF1334A4E7093",1)</v>
      </c>
      <c r="U33" t="s">
        <v>26</v>
      </c>
      <c r="V33" s="86" t="s">
        <v>134</v>
      </c>
      <c r="W33" s="20" t="s">
        <v>135</v>
      </c>
    </row>
    <row r="34" s="13" customFormat="1" customHeight="1" spans="1:24">
      <c r="A34" s="3" t="s">
        <v>136</v>
      </c>
      <c r="B34" s="4">
        <v>21957722.43</v>
      </c>
      <c r="C34" s="4"/>
      <c r="D34" s="4">
        <v>101.2</v>
      </c>
      <c r="E34" s="4">
        <v>15</v>
      </c>
      <c r="F34" s="4">
        <f>H34/B34/(D34*0.01)</f>
        <v>0.918073889702421</v>
      </c>
      <c r="G34" s="4">
        <f>100-100*F34</f>
        <v>8.19261102975786</v>
      </c>
      <c r="H34" s="4">
        <v>20400717.38</v>
      </c>
      <c r="I34" s="4">
        <f>100-100*H34/B34</f>
        <v>7.09092236211495</v>
      </c>
      <c r="J34" s="4"/>
      <c r="K34" s="4">
        <v>5.2</v>
      </c>
      <c r="L34" s="7">
        <v>44357.3958333333</v>
      </c>
      <c r="M34" s="8">
        <v>50</v>
      </c>
      <c r="N34"/>
      <c r="O34"/>
      <c r="P34"/>
      <c r="Q34"/>
      <c r="R34"/>
      <c r="S34" t="s">
        <v>137</v>
      </c>
      <c r="T34" t="str">
        <f>_xlfn.DISPIMG("ID_A7C8554973CD403FAE9FF1334A4E7093",1)</f>
        <v>=DISPIMG("ID_A7C8554973CD403FAE9FF1334A4E7093",1)</v>
      </c>
      <c r="U34" t="s">
        <v>26</v>
      </c>
      <c r="V34" s="86" t="s">
        <v>134</v>
      </c>
      <c r="W34" s="20" t="s">
        <v>138</v>
      </c>
      <c r="X34"/>
    </row>
    <row r="35" customFormat="1" customHeight="1" spans="1:23">
      <c r="A35" s="3" t="s">
        <v>139</v>
      </c>
      <c r="B35" s="4">
        <v>5718075.63</v>
      </c>
      <c r="C35" s="4"/>
      <c r="D35" s="4">
        <v>99.6</v>
      </c>
      <c r="E35" s="4">
        <v>18</v>
      </c>
      <c r="F35" s="4">
        <f>H35/B35/(D35*0.01)</f>
        <v>0.885064959082043</v>
      </c>
      <c r="G35" s="4">
        <f>100-100*F35</f>
        <v>11.4935040917957</v>
      </c>
      <c r="H35" s="4">
        <v>5040624.9</v>
      </c>
      <c r="I35" s="4">
        <f>100-100*H35/B35</f>
        <v>11.8475300754285</v>
      </c>
      <c r="J35" s="4"/>
      <c r="K35" s="4">
        <v>9.7</v>
      </c>
      <c r="L35" s="7">
        <v>44357.4166666667</v>
      </c>
      <c r="M35" s="8"/>
      <c r="S35" t="s">
        <v>140</v>
      </c>
      <c r="T35" t="str">
        <f>_xlfn.DISPIMG("ID_A7C8554973CD403FAE9FF1334A4E7093",1)</f>
        <v>=DISPIMG("ID_A7C8554973CD403FAE9FF1334A4E7093",1)</v>
      </c>
      <c r="U35" t="s">
        <v>26</v>
      </c>
      <c r="V35" s="82" t="s">
        <v>29</v>
      </c>
      <c r="W35" s="20"/>
    </row>
    <row r="36" s="13" customFormat="1" customHeight="1" spans="1:24">
      <c r="A36" s="3" t="s">
        <v>141</v>
      </c>
      <c r="B36" s="4">
        <v>2100016.62</v>
      </c>
      <c r="C36" s="4"/>
      <c r="D36" s="4">
        <v>102</v>
      </c>
      <c r="E36" s="4">
        <v>20</v>
      </c>
      <c r="F36" s="4">
        <f>H36/B36/(D36*0.01)</f>
        <v>0.93322549000383</v>
      </c>
      <c r="G36" s="4">
        <f>100-100*F36</f>
        <v>6.67745099961704</v>
      </c>
      <c r="H36" s="4">
        <v>1998984.82</v>
      </c>
      <c r="I36" s="4">
        <f>100-100*H36/B36</f>
        <v>4.81100001960938</v>
      </c>
      <c r="J36" s="4"/>
      <c r="K36" s="4">
        <v>7.8</v>
      </c>
      <c r="L36" s="7">
        <v>44358.375</v>
      </c>
      <c r="M36" s="8">
        <v>178</v>
      </c>
      <c r="N36"/>
      <c r="O36"/>
      <c r="P36"/>
      <c r="Q36"/>
      <c r="R36"/>
      <c r="S36" t="s">
        <v>142</v>
      </c>
      <c r="T36" t="str">
        <f>_xlfn.DISPIMG("ID_A7C8554973CD403FAE9FF1334A4E7093",1)</f>
        <v>=DISPIMG("ID_A7C8554973CD403FAE9FF1334A4E7093",1)</v>
      </c>
      <c r="U36" t="s">
        <v>26</v>
      </c>
      <c r="V36" s="82" t="s">
        <v>59</v>
      </c>
      <c r="W36" s="20" t="s">
        <v>143</v>
      </c>
      <c r="X36"/>
    </row>
    <row r="37" customFormat="1" customHeight="1" spans="1:23">
      <c r="A37" s="3" t="s">
        <v>144</v>
      </c>
      <c r="B37" s="4">
        <v>4035914.31</v>
      </c>
      <c r="C37" s="4"/>
      <c r="D37" s="4">
        <v>0.4</v>
      </c>
      <c r="E37" s="4"/>
      <c r="F37" s="4"/>
      <c r="G37" s="4"/>
      <c r="H37" s="4">
        <v>3909991.76</v>
      </c>
      <c r="I37" s="4">
        <f>100-100*H37/B37</f>
        <v>3.1200501380318</v>
      </c>
      <c r="J37" s="4"/>
      <c r="K37" s="4">
        <v>4.6</v>
      </c>
      <c r="L37" s="7">
        <v>44358.375</v>
      </c>
      <c r="M37" s="8">
        <v>45</v>
      </c>
      <c r="S37" t="s">
        <v>145</v>
      </c>
      <c r="T37" t="str">
        <f>_xlfn.DISPIMG("ID_9527614B758949DE89AEA4F25528D872",1)</f>
        <v>=DISPIMG("ID_9527614B758949DE89AEA4F25528D872",1)</v>
      </c>
      <c r="U37" t="s">
        <v>146</v>
      </c>
      <c r="V37" s="86" t="s">
        <v>147</v>
      </c>
      <c r="W37" s="20" t="s">
        <v>148</v>
      </c>
    </row>
    <row r="38" s="13" customFormat="1" customHeight="1" spans="1:24">
      <c r="A38" s="3" t="s">
        <v>149</v>
      </c>
      <c r="B38" s="4">
        <v>6788169.01</v>
      </c>
      <c r="C38" s="4"/>
      <c r="D38" s="4">
        <v>98</v>
      </c>
      <c r="E38" s="4">
        <v>13</v>
      </c>
      <c r="F38" s="4">
        <f>H38/B38/(D38*0.01)</f>
        <v>0.886909687763189</v>
      </c>
      <c r="G38" s="4">
        <f>100-100*F38</f>
        <v>11.3090312236811</v>
      </c>
      <c r="H38" s="4">
        <v>5900083</v>
      </c>
      <c r="I38" s="4">
        <f>100-100*H38/B38</f>
        <v>13.0828505992075</v>
      </c>
      <c r="J38" s="4"/>
      <c r="K38" s="4">
        <v>6.88</v>
      </c>
      <c r="L38" s="7">
        <v>44363.375</v>
      </c>
      <c r="M38" s="8">
        <v>610</v>
      </c>
      <c r="N38"/>
      <c r="O38"/>
      <c r="P38"/>
      <c r="Q38"/>
      <c r="R38"/>
      <c r="S38" t="s">
        <v>150</v>
      </c>
      <c r="T38" t="str">
        <f>_xlfn.DISPIMG("ID_A7C8554973CD403FAE9FF1334A4E7093",1)</f>
        <v>=DISPIMG("ID_A7C8554973CD403FAE9FF1334A4E7093",1)</v>
      </c>
      <c r="U38" t="s">
        <v>26</v>
      </c>
      <c r="V38" s="82" t="s">
        <v>29</v>
      </c>
      <c r="W38" s="20" t="s">
        <v>151</v>
      </c>
      <c r="X38"/>
    </row>
    <row r="39" s="13" customFormat="1" customHeight="1" spans="1:24">
      <c r="A39" s="3" t="s">
        <v>152</v>
      </c>
      <c r="B39" s="4">
        <v>710000</v>
      </c>
      <c r="C39" s="4"/>
      <c r="D39" s="4">
        <v>0.3</v>
      </c>
      <c r="E39" s="4"/>
      <c r="F39" s="4"/>
      <c r="G39" s="4"/>
      <c r="H39" s="4">
        <v>665000</v>
      </c>
      <c r="I39" s="4">
        <f>100-100*H39/B39</f>
        <v>6.33802816901408</v>
      </c>
      <c r="J39" s="4"/>
      <c r="K39" s="4">
        <v>5.6</v>
      </c>
      <c r="L39" s="7">
        <v>44363.4583333333</v>
      </c>
      <c r="M39" s="8">
        <v>26</v>
      </c>
      <c r="N39"/>
      <c r="O39"/>
      <c r="P39"/>
      <c r="Q39"/>
      <c r="R39"/>
      <c r="S39" t="s">
        <v>153</v>
      </c>
      <c r="T39" t="str">
        <f>_xlfn.DISPIMG("ID_2DACADFC2A374D9D98B3AA95E02AEE14",1)</f>
        <v>=DISPIMG("ID_2DACADFC2A374D9D98B3AA95E02AEE14",1)</v>
      </c>
      <c r="U39" t="s">
        <v>154</v>
      </c>
      <c r="V39" s="82" t="s">
        <v>155</v>
      </c>
      <c r="W39" s="20" t="s">
        <v>156</v>
      </c>
      <c r="X39"/>
    </row>
    <row r="40" s="13" customFormat="1" customHeight="1" spans="1:24">
      <c r="A40" s="117" t="s">
        <v>157</v>
      </c>
      <c r="B40" s="4">
        <v>5661938.92</v>
      </c>
      <c r="C40" s="4"/>
      <c r="D40" s="4">
        <v>101.6</v>
      </c>
      <c r="E40" s="4">
        <v>13</v>
      </c>
      <c r="F40" s="4">
        <f>H40/B40/(D40*0.01)</f>
        <v>0.886870078174285</v>
      </c>
      <c r="G40" s="4">
        <f>100-100*F40</f>
        <v>11.3129921825715</v>
      </c>
      <c r="H40" s="4">
        <v>5101746.68</v>
      </c>
      <c r="I40" s="4">
        <f>100-100*H40/B40</f>
        <v>9.89400005749268</v>
      </c>
      <c r="J40" s="4"/>
      <c r="K40" s="4">
        <v>12</v>
      </c>
      <c r="L40" s="7">
        <v>44364.375</v>
      </c>
      <c r="M40" s="8">
        <v>614</v>
      </c>
      <c r="N40"/>
      <c r="O40"/>
      <c r="P40"/>
      <c r="Q40"/>
      <c r="R40"/>
      <c r="S40" t="s">
        <v>158</v>
      </c>
      <c r="T40" t="str">
        <f>_xlfn.DISPIMG("ID_A7C8554973CD403FAE9FF1334A4E7093",1)</f>
        <v>=DISPIMG("ID_A7C8554973CD403FAE9FF1334A4E7093",1)</v>
      </c>
      <c r="U40" t="s">
        <v>26</v>
      </c>
      <c r="V40" s="82" t="s">
        <v>29</v>
      </c>
      <c r="W40" s="20" t="s">
        <v>159</v>
      </c>
      <c r="X40"/>
    </row>
    <row r="41" s="13" customFormat="1" customHeight="1" spans="1:24">
      <c r="A41" s="3" t="s">
        <v>160</v>
      </c>
      <c r="B41" s="4">
        <v>6337016.61</v>
      </c>
      <c r="C41" s="4"/>
      <c r="D41" s="4">
        <v>98.5</v>
      </c>
      <c r="E41" s="4"/>
      <c r="F41" s="4"/>
      <c r="G41" s="4"/>
      <c r="H41" s="4">
        <v>5976440.36</v>
      </c>
      <c r="I41" s="4">
        <f>100-100*H41/B41</f>
        <v>5.69000007718144</v>
      </c>
      <c r="J41" s="4"/>
      <c r="K41" s="4">
        <v>6.6</v>
      </c>
      <c r="L41" s="7">
        <v>44364.4583333333</v>
      </c>
      <c r="M41" s="8">
        <v>36</v>
      </c>
      <c r="N41"/>
      <c r="O41"/>
      <c r="P41"/>
      <c r="Q41"/>
      <c r="R41"/>
      <c r="S41" t="s">
        <v>161</v>
      </c>
      <c r="T41" t="str">
        <f>_xlfn.DISPIMG("ID_A5C5C48DA77F4825959FA26444F402F2",1)</f>
        <v>=DISPIMG("ID_A5C5C48DA77F4825959FA26444F402F2",1)</v>
      </c>
      <c r="U41" t="s">
        <v>162</v>
      </c>
      <c r="V41" s="86" t="s">
        <v>163</v>
      </c>
      <c r="W41" s="20"/>
      <c r="X41"/>
    </row>
    <row r="42" s="13" customFormat="1" customHeight="1" spans="1:24">
      <c r="A42" s="3" t="s">
        <v>164</v>
      </c>
      <c r="B42" s="4">
        <v>5681887.68</v>
      </c>
      <c r="C42" s="4"/>
      <c r="D42" s="4">
        <v>99.2</v>
      </c>
      <c r="E42" s="4">
        <v>13</v>
      </c>
      <c r="F42" s="4">
        <f>H42/B42/(D42*0.01)</f>
        <v>0.931189516923293</v>
      </c>
      <c r="G42" s="4">
        <f>100-100*F42</f>
        <v>6.88104830767065</v>
      </c>
      <c r="H42" s="4">
        <v>5248586.93</v>
      </c>
      <c r="I42" s="4">
        <f>100-100*H42/B42</f>
        <v>7.62599992120929</v>
      </c>
      <c r="J42" s="4"/>
      <c r="K42" s="4">
        <v>6.8</v>
      </c>
      <c r="L42" s="7">
        <v>44365.375</v>
      </c>
      <c r="M42" s="8">
        <v>146</v>
      </c>
      <c r="N42"/>
      <c r="O42"/>
      <c r="P42"/>
      <c r="Q42"/>
      <c r="R42"/>
      <c r="S42" t="s">
        <v>165</v>
      </c>
      <c r="T42" t="str">
        <f>_xlfn.DISPIMG("ID_A7C8554973CD403FAE9FF1334A4E7093",1)</f>
        <v>=DISPIMG("ID_A7C8554973CD403FAE9FF1334A4E7093",1)</v>
      </c>
      <c r="U42" t="s">
        <v>26</v>
      </c>
      <c r="V42" s="82" t="s">
        <v>166</v>
      </c>
      <c r="W42" s="20"/>
      <c r="X42"/>
    </row>
    <row r="43" s="13" customFormat="1" customHeight="1" spans="1:24">
      <c r="A43" s="3" t="s">
        <v>167</v>
      </c>
      <c r="B43" s="4">
        <v>15641040.39</v>
      </c>
      <c r="C43" s="4"/>
      <c r="D43" s="4">
        <v>102</v>
      </c>
      <c r="E43" s="4">
        <v>17</v>
      </c>
      <c r="F43" s="4">
        <f>H43/B43/(D43*0.01)</f>
        <v>0.931440145790485</v>
      </c>
      <c r="G43" s="4">
        <f>100-100*F43</f>
        <v>6.85598542095146</v>
      </c>
      <c r="H43" s="4">
        <v>14860066.8</v>
      </c>
      <c r="I43" s="4">
        <f>100-100*H43/B43</f>
        <v>4.99310512937049</v>
      </c>
      <c r="J43" s="4"/>
      <c r="K43" s="4">
        <v>7.3</v>
      </c>
      <c r="L43" s="7">
        <v>44365.4583333333</v>
      </c>
      <c r="M43" s="8">
        <v>839</v>
      </c>
      <c r="N43"/>
      <c r="O43"/>
      <c r="P43"/>
      <c r="Q43"/>
      <c r="R43"/>
      <c r="S43" t="s">
        <v>168</v>
      </c>
      <c r="T43" t="str">
        <f>_xlfn.DISPIMG("ID_A7C8554973CD403FAE9FF1334A4E7093",1)</f>
        <v>=DISPIMG("ID_A7C8554973CD403FAE9FF1334A4E7093",1)</v>
      </c>
      <c r="U43" t="s">
        <v>26</v>
      </c>
      <c r="V43" s="82" t="s">
        <v>59</v>
      </c>
      <c r="W43" s="20" t="s">
        <v>169</v>
      </c>
      <c r="X43"/>
    </row>
    <row r="44" s="13" customFormat="1" customHeight="1" spans="1:24">
      <c r="A44" s="3" t="s">
        <v>170</v>
      </c>
      <c r="B44" s="4">
        <v>6608887.51</v>
      </c>
      <c r="C44" s="4"/>
      <c r="D44" s="4">
        <v>99.6</v>
      </c>
      <c r="E44" s="4">
        <v>20</v>
      </c>
      <c r="F44" s="4">
        <f>H44/B44/(D44*0.01)</f>
        <v>0.88743975885173</v>
      </c>
      <c r="G44" s="4">
        <f>100-100*F44</f>
        <v>11.256024114827</v>
      </c>
      <c r="H44" s="4">
        <v>5841529.58</v>
      </c>
      <c r="I44" s="4">
        <f>100-100*H44/B44</f>
        <v>11.6110000183677</v>
      </c>
      <c r="J44" s="4"/>
      <c r="K44" s="4">
        <v>10.8</v>
      </c>
      <c r="L44" s="7">
        <v>44369.375</v>
      </c>
      <c r="M44" s="8">
        <v>623</v>
      </c>
      <c r="N44"/>
      <c r="O44"/>
      <c r="P44"/>
      <c r="Q44"/>
      <c r="R44"/>
      <c r="S44" t="s">
        <v>171</v>
      </c>
      <c r="T44" t="str">
        <f>_xlfn.DISPIMG("ID_A7C8554973CD403FAE9FF1334A4E7093",1)</f>
        <v>=DISPIMG("ID_A7C8554973CD403FAE9FF1334A4E7093",1)</v>
      </c>
      <c r="U44" t="s">
        <v>26</v>
      </c>
      <c r="V44" s="82" t="s">
        <v>29</v>
      </c>
      <c r="W44" s="20" t="s">
        <v>159</v>
      </c>
      <c r="X44"/>
    </row>
    <row r="45" s="13" customFormat="1" customHeight="1" spans="1:24">
      <c r="A45" s="3" t="s">
        <v>172</v>
      </c>
      <c r="B45" s="4">
        <v>7023786</v>
      </c>
      <c r="C45" s="4"/>
      <c r="D45" s="4">
        <v>101.6</v>
      </c>
      <c r="E45" s="4"/>
      <c r="F45" s="4"/>
      <c r="G45" s="4"/>
      <c r="H45" s="4">
        <v>6556704.23</v>
      </c>
      <c r="I45" s="4">
        <f>100-100*H45/B45</f>
        <v>6.65000001423734</v>
      </c>
      <c r="J45" s="4"/>
      <c r="K45" s="4">
        <v>9.8</v>
      </c>
      <c r="L45" s="7">
        <v>44369.3958333333</v>
      </c>
      <c r="M45" s="8">
        <v>428</v>
      </c>
      <c r="N45"/>
      <c r="O45"/>
      <c r="P45"/>
      <c r="Q45"/>
      <c r="R45"/>
      <c r="S45" t="s">
        <v>173</v>
      </c>
      <c r="T45" t="str">
        <f>_xlfn.DISPIMG("ID_B45AC5B0931F41358AA01BD5585B5788",1)</f>
        <v>=DISPIMG("ID_B45AC5B0931F41358AA01BD5585B5788",1)</v>
      </c>
      <c r="U45" t="s">
        <v>119</v>
      </c>
      <c r="V45" s="82" t="s">
        <v>120</v>
      </c>
      <c r="W45" s="20" t="s">
        <v>174</v>
      </c>
      <c r="X45"/>
    </row>
    <row r="46" s="13" customFormat="1" customHeight="1" spans="1:24">
      <c r="A46" s="117" t="s">
        <v>175</v>
      </c>
      <c r="B46" s="4">
        <v>3679152.59</v>
      </c>
      <c r="C46" s="4"/>
      <c r="D46" s="4">
        <v>99</v>
      </c>
      <c r="E46" s="4"/>
      <c r="F46" s="4"/>
      <c r="G46" s="4"/>
      <c r="H46" s="4">
        <v>3480846.27</v>
      </c>
      <c r="I46" s="4">
        <f>100-100*H46/B46</f>
        <v>5.38999987494402</v>
      </c>
      <c r="J46" s="4"/>
      <c r="K46" s="4">
        <v>5.8</v>
      </c>
      <c r="L46" s="7">
        <v>44369.4583333333</v>
      </c>
      <c r="M46" s="8">
        <v>61</v>
      </c>
      <c r="N46"/>
      <c r="O46"/>
      <c r="P46"/>
      <c r="Q46"/>
      <c r="R46"/>
      <c r="S46" t="s">
        <v>176</v>
      </c>
      <c r="T46" t="str">
        <f>_xlfn.DISPIMG("ID_A5C5C48DA77F4825959FA26444F402F2",1)</f>
        <v>=DISPIMG("ID_A5C5C48DA77F4825959FA26444F402F2",1)</v>
      </c>
      <c r="U46" t="s">
        <v>162</v>
      </c>
      <c r="V46" s="86" t="s">
        <v>177</v>
      </c>
      <c r="W46" s="20" t="s">
        <v>178</v>
      </c>
      <c r="X46"/>
    </row>
    <row r="47" s="13" customFormat="1" customHeight="1" spans="1:24">
      <c r="A47" s="3" t="s">
        <v>179</v>
      </c>
      <c r="B47" s="4">
        <v>7016815.07</v>
      </c>
      <c r="C47" s="4"/>
      <c r="D47" s="4">
        <v>102</v>
      </c>
      <c r="E47" s="4">
        <v>11</v>
      </c>
      <c r="F47" s="4">
        <f>H47/B47/(D47*0.01)</f>
        <v>0.883398039514042</v>
      </c>
      <c r="G47" s="4">
        <f>100-100*F47</f>
        <v>11.6601960485958</v>
      </c>
      <c r="H47" s="4">
        <v>6322613.49</v>
      </c>
      <c r="I47" s="4">
        <f>100-100*H47/B47</f>
        <v>9.89339996956768</v>
      </c>
      <c r="J47" s="4"/>
      <c r="K47" s="4">
        <v>11.8</v>
      </c>
      <c r="L47" s="7">
        <v>44370.375</v>
      </c>
      <c r="M47" s="8">
        <v>621</v>
      </c>
      <c r="N47" s="119"/>
      <c r="O47" s="119"/>
      <c r="P47" s="119"/>
      <c r="Q47" s="119"/>
      <c r="R47" s="119"/>
      <c r="S47" s="119" t="s">
        <v>180</v>
      </c>
      <c r="T47" s="119" t="str">
        <f>_xlfn.DISPIMG("ID_A7C8554973CD403FAE9FF1334A4E7093",1)</f>
        <v>=DISPIMG("ID_A7C8554973CD403FAE9FF1334A4E7093",1)</v>
      </c>
      <c r="U47" s="119" t="s">
        <v>26</v>
      </c>
      <c r="V47" s="82" t="s">
        <v>29</v>
      </c>
      <c r="W47" s="20" t="s">
        <v>181</v>
      </c>
      <c r="X47" s="119"/>
    </row>
    <row r="48" s="13" customFormat="1" customHeight="1" spans="1:24">
      <c r="A48" s="3" t="s">
        <v>182</v>
      </c>
      <c r="B48" s="4">
        <v>5995234.59</v>
      </c>
      <c r="C48" s="4"/>
      <c r="D48" s="4">
        <v>99.2</v>
      </c>
      <c r="E48" s="4">
        <v>16</v>
      </c>
      <c r="F48" s="4">
        <f>H48/B48/(D48*0.01)</f>
        <v>0.883759997799271</v>
      </c>
      <c r="G48" s="4">
        <f>100-100*F48</f>
        <v>11.6240002200729</v>
      </c>
      <c r="H48" s="4">
        <v>5255961.72</v>
      </c>
      <c r="I48" s="4">
        <f>100-100*H48/B48</f>
        <v>12.3310082183123</v>
      </c>
      <c r="J48" s="4"/>
      <c r="K48" s="4">
        <v>10.3</v>
      </c>
      <c r="L48" s="7">
        <v>44370.4166666667</v>
      </c>
      <c r="M48" s="8">
        <v>587</v>
      </c>
      <c r="N48" s="119"/>
      <c r="O48" s="119"/>
      <c r="P48" s="119"/>
      <c r="Q48" s="119"/>
      <c r="R48" s="119"/>
      <c r="S48" s="119" t="s">
        <v>183</v>
      </c>
      <c r="T48" t="str">
        <f>_xlfn.DISPIMG("ID_A7C8554973CD403FAE9FF1334A4E7093",1)</f>
        <v>=DISPIMG("ID_A7C8554973CD403FAE9FF1334A4E7093",1)</v>
      </c>
      <c r="U48" t="s">
        <v>26</v>
      </c>
      <c r="V48" s="82" t="s">
        <v>29</v>
      </c>
      <c r="W48" s="20" t="s">
        <v>181</v>
      </c>
      <c r="X48" s="119"/>
    </row>
    <row r="49" s="13" customFormat="1" customHeight="1" spans="1:24">
      <c r="A49" s="3" t="s">
        <v>184</v>
      </c>
      <c r="B49" s="4">
        <v>7858726.83</v>
      </c>
      <c r="C49" s="4"/>
      <c r="D49" s="4">
        <v>99.6</v>
      </c>
      <c r="E49" s="4">
        <v>13</v>
      </c>
      <c r="F49" s="4">
        <f>H49/B49/(D49*0.01)</f>
        <v>0.935040161054079</v>
      </c>
      <c r="G49" s="4">
        <f>100-100*F49</f>
        <v>6.49598389459209</v>
      </c>
      <c r="H49" s="4">
        <v>7318832.3</v>
      </c>
      <c r="I49" s="4">
        <f>100-100*H49/B49</f>
        <v>6.86999995901371</v>
      </c>
      <c r="J49" s="4"/>
      <c r="K49" s="4">
        <v>6.8</v>
      </c>
      <c r="L49" s="7">
        <v>44371.375</v>
      </c>
      <c r="M49" s="8">
        <v>201</v>
      </c>
      <c r="N49"/>
      <c r="O49"/>
      <c r="P49"/>
      <c r="Q49"/>
      <c r="R49"/>
      <c r="S49" t="s">
        <v>185</v>
      </c>
      <c r="T49" t="str">
        <f>_xlfn.DISPIMG("ID_A7C8554973CD403FAE9FF1334A4E7093",1)</f>
        <v>=DISPIMG("ID_A7C8554973CD403FAE9FF1334A4E7093",1)</v>
      </c>
      <c r="U49" t="s">
        <v>26</v>
      </c>
      <c r="V49" s="82" t="s">
        <v>59</v>
      </c>
      <c r="W49" s="20" t="s">
        <v>186</v>
      </c>
      <c r="X49"/>
    </row>
    <row r="50" s="13" customFormat="1" customHeight="1" spans="1:24">
      <c r="A50" s="118" t="s">
        <v>187</v>
      </c>
      <c r="B50" s="4">
        <v>5393667.05</v>
      </c>
      <c r="C50" s="4"/>
      <c r="D50" s="4">
        <v>0.3</v>
      </c>
      <c r="E50" s="4"/>
      <c r="F50" s="4"/>
      <c r="G50" s="4"/>
      <c r="H50" s="4">
        <v>5247200</v>
      </c>
      <c r="I50" s="4">
        <f>100-100*H50/B50</f>
        <v>2.71553747463889</v>
      </c>
      <c r="J50" s="4"/>
      <c r="K50" s="4">
        <v>9.3</v>
      </c>
      <c r="L50" s="7">
        <v>44377.3958333333</v>
      </c>
      <c r="M50" s="8">
        <v>68</v>
      </c>
      <c r="N50"/>
      <c r="O50"/>
      <c r="P50"/>
      <c r="Q50"/>
      <c r="R50"/>
      <c r="S50" t="s">
        <v>188</v>
      </c>
      <c r="T50" t="str">
        <f>_xlfn.DISPIMG("ID_5C1B5B8EA2164BF49185CA64500D4BE4",1)</f>
        <v>=DISPIMG("ID_5C1B5B8EA2164BF49185CA64500D4BE4",1)</v>
      </c>
      <c r="U50" t="s">
        <v>189</v>
      </c>
      <c r="V50" s="5" t="s">
        <v>40</v>
      </c>
      <c r="W50" s="20" t="s">
        <v>190</v>
      </c>
      <c r="X50"/>
    </row>
    <row r="51" s="13" customFormat="1" customHeight="1" spans="1:24">
      <c r="A51" s="3" t="s">
        <v>191</v>
      </c>
      <c r="B51" s="4">
        <v>6041792.27</v>
      </c>
      <c r="C51" s="4"/>
      <c r="D51" s="4"/>
      <c r="E51" s="4"/>
      <c r="F51" s="4"/>
      <c r="G51" s="4"/>
      <c r="H51" s="4">
        <v>5742240.21</v>
      </c>
      <c r="I51" s="4">
        <f>100-100*H51/B51</f>
        <v>4.95799998764274</v>
      </c>
      <c r="J51" s="4"/>
      <c r="K51" s="4">
        <v>5.6</v>
      </c>
      <c r="L51" s="7">
        <v>44379.3958333333</v>
      </c>
      <c r="M51" s="8">
        <v>4</v>
      </c>
      <c r="N51"/>
      <c r="O51"/>
      <c r="P51"/>
      <c r="Q51"/>
      <c r="R51"/>
      <c r="S51" s="35" t="s">
        <v>192</v>
      </c>
      <c r="T51" t="str">
        <f>_xlfn.DISPIMG("ID_A7C8554973CD403FAE9FF1334A4E7093",1)</f>
        <v>=DISPIMG("ID_A7C8554973CD403FAE9FF1334A4E7093",1)</v>
      </c>
      <c r="U51" t="s">
        <v>26</v>
      </c>
      <c r="V51" s="86" t="s">
        <v>193</v>
      </c>
      <c r="W51" s="20" t="s">
        <v>194</v>
      </c>
      <c r="X51"/>
    </row>
    <row r="52" s="13" customFormat="1" customHeight="1" spans="1:24">
      <c r="A52" s="3" t="s">
        <v>195</v>
      </c>
      <c r="B52" s="4">
        <v>5944840.03</v>
      </c>
      <c r="C52" s="4"/>
      <c r="D52" s="4">
        <v>0.1</v>
      </c>
      <c r="E52" s="4"/>
      <c r="F52" s="4"/>
      <c r="G52" s="4"/>
      <c r="H52" s="4">
        <v>5786500</v>
      </c>
      <c r="I52" s="4">
        <f>100-100*H52/B52</f>
        <v>2.6634868087443</v>
      </c>
      <c r="J52" s="4"/>
      <c r="K52" s="4">
        <v>5.8</v>
      </c>
      <c r="L52" s="7">
        <v>44383.375</v>
      </c>
      <c r="M52" s="8">
        <v>33</v>
      </c>
      <c r="N52"/>
      <c r="O52"/>
      <c r="P52"/>
      <c r="Q52"/>
      <c r="R52"/>
      <c r="S52" t="s">
        <v>196</v>
      </c>
      <c r="T52" t="str">
        <f>_xlfn.DISPIMG("ID_5C1B5B8EA2164BF49185CA64500D4BE4",1)</f>
        <v>=DISPIMG("ID_5C1B5B8EA2164BF49185CA64500D4BE4",1)</v>
      </c>
      <c r="U52" t="s">
        <v>189</v>
      </c>
      <c r="V52" s="5" t="s">
        <v>40</v>
      </c>
      <c r="W52" s="20" t="s">
        <v>197</v>
      </c>
      <c r="X52"/>
    </row>
    <row r="53" s="13" customFormat="1" customHeight="1" spans="1:24">
      <c r="A53" s="3" t="s">
        <v>198</v>
      </c>
      <c r="B53" s="4">
        <v>4763012.16</v>
      </c>
      <c r="C53" s="4"/>
      <c r="D53" s="4">
        <v>101.6</v>
      </c>
      <c r="E53" s="4">
        <v>14</v>
      </c>
      <c r="F53" s="4">
        <f>H53/B53/(D53*0.01)</f>
        <v>0.891141732352897</v>
      </c>
      <c r="G53" s="4">
        <f>100-100*F53</f>
        <v>10.8858267647103</v>
      </c>
      <c r="H53" s="4">
        <v>4312431.21</v>
      </c>
      <c r="I53" s="4">
        <f>100-100*H53/B53</f>
        <v>9.45999999294564</v>
      </c>
      <c r="J53" s="4"/>
      <c r="K53" s="4">
        <v>9.8</v>
      </c>
      <c r="L53" s="7">
        <v>44383.3958333333</v>
      </c>
      <c r="M53" s="8">
        <v>29</v>
      </c>
      <c r="N53"/>
      <c r="O53"/>
      <c r="P53"/>
      <c r="Q53"/>
      <c r="R53"/>
      <c r="S53" t="s">
        <v>199</v>
      </c>
      <c r="T53" t="str">
        <f>_xlfn.DISPIMG("ID_A7C8554973CD403FAE9FF1334A4E7093",1)</f>
        <v>=DISPIMG("ID_A7C8554973CD403FAE9FF1334A4E7093",1)</v>
      </c>
      <c r="U53" t="s">
        <v>26</v>
      </c>
      <c r="V53" s="82" t="s">
        <v>29</v>
      </c>
      <c r="W53" s="20" t="s">
        <v>200</v>
      </c>
      <c r="X53"/>
    </row>
    <row r="54" customFormat="1" customHeight="1" spans="1:23">
      <c r="A54" s="3" t="s">
        <v>201</v>
      </c>
      <c r="B54" s="4">
        <v>6493210.29</v>
      </c>
      <c r="C54" s="4"/>
      <c r="D54" s="4">
        <v>98</v>
      </c>
      <c r="E54" s="4">
        <v>17</v>
      </c>
      <c r="F54" s="4">
        <f>H54/B54/(D54*0.01)</f>
        <v>0.905938775562409</v>
      </c>
      <c r="G54" s="4">
        <f>100-100*F54</f>
        <v>9.40612244375907</v>
      </c>
      <c r="H54" s="4">
        <v>5764801.96</v>
      </c>
      <c r="I54" s="4">
        <f>100-100*H54/B54</f>
        <v>11.2179999948839</v>
      </c>
      <c r="J54" s="4"/>
      <c r="K54" s="4">
        <v>5.3</v>
      </c>
      <c r="L54" s="7">
        <v>44384.3958333333</v>
      </c>
      <c r="M54" s="8">
        <v>81</v>
      </c>
      <c r="S54" s="35" t="s">
        <v>202</v>
      </c>
      <c r="T54" s="13" t="str">
        <f>_xlfn.DISPIMG("ID_A7C8554973CD403FAE9FF1334A4E7093",1)</f>
        <v>=DISPIMG("ID_A7C8554973CD403FAE9FF1334A4E7093",1)</v>
      </c>
      <c r="U54" s="13" t="s">
        <v>26</v>
      </c>
      <c r="V54" s="86" t="s">
        <v>193</v>
      </c>
      <c r="W54" s="20" t="s">
        <v>203</v>
      </c>
    </row>
    <row r="55" s="13" customFormat="1" customHeight="1" spans="1:24">
      <c r="A55" s="3" t="s">
        <v>204</v>
      </c>
      <c r="B55" s="4">
        <v>8962792.67</v>
      </c>
      <c r="C55" s="4"/>
      <c r="D55" s="4">
        <v>101.6</v>
      </c>
      <c r="E55" s="4">
        <v>13</v>
      </c>
      <c r="F55" s="4">
        <f>H55/B55/(D55*0.01)</f>
        <v>0.871232831081818</v>
      </c>
      <c r="G55" s="4">
        <f>100-100*F55</f>
        <v>12.8767168918182</v>
      </c>
      <c r="H55" s="4">
        <v>7933618.1</v>
      </c>
      <c r="I55" s="4">
        <f>100-100*H55/B55</f>
        <v>11.4827443620873</v>
      </c>
      <c r="J55" s="4"/>
      <c r="K55" s="4">
        <v>6.8</v>
      </c>
      <c r="L55" s="7">
        <v>44397.375</v>
      </c>
      <c r="M55" s="8">
        <v>615</v>
      </c>
      <c r="N55" s="119"/>
      <c r="O55" s="119"/>
      <c r="P55" s="119"/>
      <c r="Q55" s="119"/>
      <c r="R55" s="119"/>
      <c r="S55" s="119" t="s">
        <v>205</v>
      </c>
      <c r="T55" s="119" t="str">
        <f>_xlfn.DISPIMG("ID_A7C8554973CD403FAE9FF1334A4E7093",1)</f>
        <v>=DISPIMG("ID_A7C8554973CD403FAE9FF1334A4E7093",1)</v>
      </c>
      <c r="U55" s="119" t="s">
        <v>26</v>
      </c>
      <c r="V55" s="82" t="s">
        <v>29</v>
      </c>
      <c r="W55" s="20" t="s">
        <v>206</v>
      </c>
      <c r="X55" s="119"/>
    </row>
    <row r="56" customFormat="1" customHeight="1" spans="1:23">
      <c r="A56" s="3" t="s">
        <v>207</v>
      </c>
      <c r="B56" s="4">
        <v>2561550.49</v>
      </c>
      <c r="C56" s="4"/>
      <c r="D56" s="4">
        <v>99.5</v>
      </c>
      <c r="E56" s="4"/>
      <c r="F56" s="4"/>
      <c r="G56" s="4"/>
      <c r="H56" s="4">
        <v>2339207.17</v>
      </c>
      <c r="I56" s="4">
        <f>100-100*H56/B56</f>
        <v>8.68002878990686</v>
      </c>
      <c r="J56" s="4"/>
      <c r="K56" s="4">
        <v>6.1</v>
      </c>
      <c r="L56" s="7">
        <v>44400.375</v>
      </c>
      <c r="M56" s="8">
        <v>24</v>
      </c>
      <c r="S56" t="s">
        <v>208</v>
      </c>
      <c r="T56" t="str">
        <f>_xlfn.DISPIMG("ID_A5C5C48DA77F4825959FA26444F402F2",1)</f>
        <v>=DISPIMG("ID_A5C5C48DA77F4825959FA26444F402F2",1)</v>
      </c>
      <c r="U56" t="s">
        <v>162</v>
      </c>
      <c r="V56" s="82" t="s">
        <v>120</v>
      </c>
      <c r="W56" s="20"/>
    </row>
    <row r="57" customFormat="1" customHeight="1" spans="1:23">
      <c r="A57" s="118" t="s">
        <v>209</v>
      </c>
      <c r="B57" s="4">
        <v>10590108.19</v>
      </c>
      <c r="C57" s="4"/>
      <c r="D57" s="4">
        <v>98.4</v>
      </c>
      <c r="E57" s="4">
        <v>16</v>
      </c>
      <c r="F57" s="4">
        <f>H57/B57/(D57*0.01)</f>
        <v>0.899883130021597</v>
      </c>
      <c r="G57" s="4">
        <f>100-100*F57</f>
        <v>10.0116869978403</v>
      </c>
      <c r="H57" s="4">
        <v>9377381.95</v>
      </c>
      <c r="I57" s="4">
        <f>100-100*H57/B57</f>
        <v>11.4515000058748</v>
      </c>
      <c r="J57" s="4"/>
      <c r="K57" s="4">
        <v>13.6</v>
      </c>
      <c r="L57" s="7">
        <v>44404.3958333333</v>
      </c>
      <c r="M57" s="8">
        <v>470</v>
      </c>
      <c r="S57" t="s">
        <v>210</v>
      </c>
      <c r="T57" s="13" t="str">
        <f>_xlfn.DISPIMG("ID_A7C8554973CD403FAE9FF1334A4E7093",1)</f>
        <v>=DISPIMG("ID_A7C8554973CD403FAE9FF1334A4E7093",1)</v>
      </c>
      <c r="U57" s="13" t="s">
        <v>26</v>
      </c>
      <c r="V57" s="82" t="s">
        <v>29</v>
      </c>
      <c r="W57" s="20" t="s">
        <v>211</v>
      </c>
    </row>
    <row r="58" customFormat="1" customHeight="1" spans="1:23">
      <c r="A58" s="118" t="s">
        <v>212</v>
      </c>
      <c r="B58" s="4">
        <v>716698.94</v>
      </c>
      <c r="C58" s="4"/>
      <c r="D58" s="4">
        <v>0.4</v>
      </c>
      <c r="E58" s="4"/>
      <c r="F58" s="4"/>
      <c r="G58" s="4"/>
      <c r="H58" s="4">
        <v>696796.22</v>
      </c>
      <c r="I58" s="4">
        <f>100-100*H58/B58</f>
        <v>2.77699866557636</v>
      </c>
      <c r="J58" s="4"/>
      <c r="K58" s="4">
        <v>3.1</v>
      </c>
      <c r="L58" s="7">
        <v>44405.375</v>
      </c>
      <c r="M58" s="8">
        <v>19</v>
      </c>
      <c r="S58" t="s">
        <v>213</v>
      </c>
      <c r="T58" t="str">
        <f>_xlfn.DISPIMG("ID_688F788D626549FDB0C5FF40CDC34B6E",1)</f>
        <v>=DISPIMG("ID_688F788D626549FDB0C5FF40CDC34B6E",1)</v>
      </c>
      <c r="U58" t="s">
        <v>214</v>
      </c>
      <c r="V58" s="86" t="s">
        <v>147</v>
      </c>
      <c r="W58" s="20" t="s">
        <v>215</v>
      </c>
    </row>
    <row r="59" customFormat="1" customHeight="1" spans="1:23">
      <c r="A59" s="3" t="s">
        <v>216</v>
      </c>
      <c r="B59" s="4">
        <v>7439144.14</v>
      </c>
      <c r="C59" s="4"/>
      <c r="D59" s="4">
        <v>0.2</v>
      </c>
      <c r="E59" s="4"/>
      <c r="F59" s="4"/>
      <c r="G59" s="4"/>
      <c r="H59" s="4">
        <v>6785060.55</v>
      </c>
      <c r="I59" s="4">
        <f>100-100*H59/B59</f>
        <v>8.79245754203117</v>
      </c>
      <c r="J59" s="4"/>
      <c r="K59" s="4">
        <v>9.3</v>
      </c>
      <c r="L59" s="7">
        <v>44411.375</v>
      </c>
      <c r="M59" s="8">
        <v>90</v>
      </c>
      <c r="N59"/>
      <c r="O59"/>
      <c r="P59"/>
      <c r="Q59"/>
      <c r="R59"/>
      <c r="S59" s="35" t="s">
        <v>217</v>
      </c>
      <c r="T59" t="str">
        <f>_xlfn.DISPIMG("ID_340363A8EEB5492796805A1436126B6F",1)</f>
        <v>=DISPIMG("ID_340363A8EEB5492796805A1436126B6F",1)</v>
      </c>
      <c r="U59" t="s">
        <v>218</v>
      </c>
      <c r="V59" s="5" t="s">
        <v>40</v>
      </c>
      <c r="W59" s="20" t="s">
        <v>219</v>
      </c>
    </row>
    <row r="60" s="13" customFormat="1" customHeight="1" spans="1:24">
      <c r="A60" s="3" t="s">
        <v>220</v>
      </c>
      <c r="B60" s="4">
        <v>8430984.85</v>
      </c>
      <c r="C60" s="4"/>
      <c r="D60" s="4">
        <v>0.2</v>
      </c>
      <c r="E60" s="4"/>
      <c r="F60" s="4"/>
      <c r="G60" s="4"/>
      <c r="H60" s="4">
        <v>7678000</v>
      </c>
      <c r="I60" s="4">
        <f>100-100*H60/B60</f>
        <v>8.93116122726754</v>
      </c>
      <c r="J60" s="4"/>
      <c r="K60" s="4">
        <v>8.6</v>
      </c>
      <c r="L60" s="7">
        <v>44411.375</v>
      </c>
      <c r="M60" s="8">
        <v>89</v>
      </c>
      <c r="N60"/>
      <c r="O60"/>
      <c r="P60"/>
      <c r="Q60"/>
      <c r="R60"/>
      <c r="S60" t="s">
        <v>221</v>
      </c>
      <c r="T60" t="str">
        <f>_xlfn.DISPIMG("ID_5C1B5B8EA2164BF49185CA64500D4BE4",1)</f>
        <v>=DISPIMG("ID_5C1B5B8EA2164BF49185CA64500D4BE4",1)</v>
      </c>
      <c r="U60" t="s">
        <v>218</v>
      </c>
      <c r="V60" s="5" t="s">
        <v>40</v>
      </c>
      <c r="W60" s="20" t="s">
        <v>222</v>
      </c>
      <c r="X60"/>
    </row>
    <row r="61" customFormat="1" customHeight="1" spans="1:24">
      <c r="A61" s="3" t="s">
        <v>223</v>
      </c>
      <c r="B61" s="4">
        <v>25996315.46</v>
      </c>
      <c r="C61" s="4"/>
      <c r="D61" s="4">
        <v>0.5</v>
      </c>
      <c r="E61" s="4"/>
      <c r="F61" s="4"/>
      <c r="G61" s="4"/>
      <c r="H61" s="4">
        <v>25674741.04</v>
      </c>
      <c r="I61" s="4">
        <f>100-100*H61/B61</f>
        <v>1.23699999138263</v>
      </c>
      <c r="J61" s="4"/>
      <c r="K61" s="4">
        <v>10.6</v>
      </c>
      <c r="L61" s="7">
        <v>44414.375</v>
      </c>
      <c r="M61" s="8">
        <v>87</v>
      </c>
      <c r="N61" s="13"/>
      <c r="O61" s="13"/>
      <c r="P61" s="13"/>
      <c r="Q61" s="13"/>
      <c r="R61" s="13"/>
      <c r="S61" s="61" t="s">
        <v>224</v>
      </c>
      <c r="T61" s="13" t="str">
        <f>_xlfn.DISPIMG("ID_DA525B631F12498FBD4C0447472A2F2C",1)</f>
        <v>=DISPIMG("ID_DA525B631F12498FBD4C0447472A2F2C",1)</v>
      </c>
      <c r="U61" s="13" t="s">
        <v>225</v>
      </c>
      <c r="V61" s="82" t="s">
        <v>29</v>
      </c>
      <c r="W61" s="20" t="s">
        <v>226</v>
      </c>
      <c r="X61" s="13"/>
    </row>
    <row r="62" customFormat="1" customHeight="1" spans="1:23">
      <c r="A62" s="3" t="s">
        <v>227</v>
      </c>
      <c r="B62" s="4">
        <v>9161515.61</v>
      </c>
      <c r="C62" s="4"/>
      <c r="D62" s="4">
        <v>0.5</v>
      </c>
      <c r="E62" s="4"/>
      <c r="F62" s="4"/>
      <c r="G62" s="4"/>
      <c r="H62" s="4">
        <v>8918111.51</v>
      </c>
      <c r="I62" s="4">
        <f>100-100*H62/B62</f>
        <v>2.65681040519451</v>
      </c>
      <c r="J62" s="4"/>
      <c r="K62" s="4">
        <v>10.8</v>
      </c>
      <c r="L62" s="7">
        <v>44418.375</v>
      </c>
      <c r="M62" s="8">
        <v>114</v>
      </c>
      <c r="S62" t="s">
        <v>228</v>
      </c>
      <c r="T62" t="str">
        <f>_xlfn.DISPIMG("ID_DA525B631F12498FBD4C0447472A2F2C",1)</f>
        <v>=DISPIMG("ID_DA525B631F12498FBD4C0447472A2F2C",1)</v>
      </c>
      <c r="U62" t="s">
        <v>225</v>
      </c>
      <c r="V62" s="82" t="s">
        <v>29</v>
      </c>
      <c r="W62" s="20" t="s">
        <v>229</v>
      </c>
    </row>
    <row r="63" s="13" customFormat="1" customHeight="1" spans="1:24">
      <c r="A63" s="3" t="s">
        <v>230</v>
      </c>
      <c r="B63" s="4">
        <v>2441502.26</v>
      </c>
      <c r="C63" s="4"/>
      <c r="D63" s="4">
        <v>98.8</v>
      </c>
      <c r="E63" s="4">
        <v>16</v>
      </c>
      <c r="F63" s="4">
        <f>H63/B63/(D63*0.01)</f>
        <v>0.938401864628769</v>
      </c>
      <c r="G63" s="4">
        <f>100-100*F63</f>
        <v>6.15981353712314</v>
      </c>
      <c r="H63" s="4">
        <v>2263616.95</v>
      </c>
      <c r="I63" s="4">
        <f>100-100*H63/B63</f>
        <v>7.28589577467766</v>
      </c>
      <c r="J63" s="4"/>
      <c r="K63" s="4">
        <v>8.6</v>
      </c>
      <c r="L63" s="7">
        <v>44419.375</v>
      </c>
      <c r="M63" s="8">
        <v>107</v>
      </c>
      <c r="N63"/>
      <c r="O63"/>
      <c r="P63"/>
      <c r="Q63"/>
      <c r="R63"/>
      <c r="S63" t="s">
        <v>231</v>
      </c>
      <c r="T63" s="13" t="str">
        <f>_xlfn.DISPIMG("ID_A7C8554973CD403FAE9FF1334A4E7093",1)</f>
        <v>=DISPIMG("ID_A7C8554973CD403FAE9FF1334A4E7093",1)</v>
      </c>
      <c r="U63" s="13" t="s">
        <v>26</v>
      </c>
      <c r="V63" s="82" t="s">
        <v>59</v>
      </c>
      <c r="W63" s="20" t="s">
        <v>232</v>
      </c>
      <c r="X63"/>
    </row>
    <row r="64" s="13" customFormat="1" customHeight="1" spans="1:24">
      <c r="A64" s="3" t="s">
        <v>233</v>
      </c>
      <c r="B64" s="4">
        <v>13426109.52</v>
      </c>
      <c r="C64" s="4"/>
      <c r="D64" s="4">
        <v>100.4</v>
      </c>
      <c r="E64" s="4">
        <v>14</v>
      </c>
      <c r="F64" s="4">
        <f>H64/B64/(D64*0.01)</f>
        <v>0.887747999877031</v>
      </c>
      <c r="G64" s="4">
        <f>100-100*F64</f>
        <v>11.2252000122969</v>
      </c>
      <c r="H64" s="4">
        <v>11966677.88</v>
      </c>
      <c r="I64" s="4">
        <f>100-100*H64/B64</f>
        <v>10.8701008123461</v>
      </c>
      <c r="J64" s="4"/>
      <c r="K64" s="4">
        <v>9.3</v>
      </c>
      <c r="L64" s="7">
        <v>44420.375</v>
      </c>
      <c r="M64" s="8">
        <v>1399</v>
      </c>
      <c r="N64"/>
      <c r="O64"/>
      <c r="P64"/>
      <c r="Q64"/>
      <c r="R64"/>
      <c r="S64" t="s">
        <v>234</v>
      </c>
      <c r="T64" s="13" t="str">
        <f>_xlfn.DISPIMG("ID_A7C8554973CD403FAE9FF1334A4E7093",1)</f>
        <v>=DISPIMG("ID_A7C8554973CD403FAE9FF1334A4E7093",1)</v>
      </c>
      <c r="U64" s="13" t="s">
        <v>26</v>
      </c>
      <c r="V64" s="82" t="s">
        <v>29</v>
      </c>
      <c r="W64" s="20" t="s">
        <v>235</v>
      </c>
      <c r="X64"/>
    </row>
    <row r="65" s="13" customFormat="1" customHeight="1" spans="1:24">
      <c r="A65" s="3" t="s">
        <v>236</v>
      </c>
      <c r="B65" s="4">
        <v>4495089.38</v>
      </c>
      <c r="C65" s="4"/>
      <c r="D65" s="4">
        <v>0.2</v>
      </c>
      <c r="E65" s="4"/>
      <c r="F65" s="4"/>
      <c r="G65" s="4"/>
      <c r="H65" s="4">
        <v>4289439.05</v>
      </c>
      <c r="I65" s="4">
        <f>100-100*H65/B65</f>
        <v>4.57499979677823</v>
      </c>
      <c r="J65" s="4"/>
      <c r="K65" s="4">
        <v>8.8</v>
      </c>
      <c r="L65" s="7">
        <v>44420.3958333333</v>
      </c>
      <c r="M65" s="8">
        <v>48</v>
      </c>
      <c r="N65"/>
      <c r="O65"/>
      <c r="P65"/>
      <c r="Q65"/>
      <c r="R65"/>
      <c r="S65" t="s">
        <v>237</v>
      </c>
      <c r="T65" t="str">
        <f>_xlfn.DISPIMG("ID_5C1B5B8EA2164BF49185CA64500D4BE4",1)</f>
        <v>=DISPIMG("ID_5C1B5B8EA2164BF49185CA64500D4BE4",1)</v>
      </c>
      <c r="U65" t="s">
        <v>189</v>
      </c>
      <c r="V65" s="5" t="s">
        <v>40</v>
      </c>
      <c r="W65" s="20" t="s">
        <v>238</v>
      </c>
      <c r="X65"/>
    </row>
    <row r="66" s="13" customFormat="1" customHeight="1" spans="1:24">
      <c r="A66" s="3" t="s">
        <v>239</v>
      </c>
      <c r="B66" s="4">
        <v>7936826.71</v>
      </c>
      <c r="C66" s="4"/>
      <c r="D66" s="4">
        <v>100.8</v>
      </c>
      <c r="E66" s="4">
        <v>15</v>
      </c>
      <c r="F66" s="4">
        <f>H66/B66/(D66*0.01)</f>
        <v>0.889433800482264</v>
      </c>
      <c r="G66" s="4">
        <f>100-100*F66</f>
        <v>11.0566199517736</v>
      </c>
      <c r="H66" s="4">
        <v>7115756.2</v>
      </c>
      <c r="I66" s="4">
        <f>100-100*H66/B66</f>
        <v>10.3450729113878</v>
      </c>
      <c r="J66" s="4"/>
      <c r="K66" s="4">
        <v>8.3</v>
      </c>
      <c r="L66" s="7">
        <v>44421.375</v>
      </c>
      <c r="M66" s="8">
        <v>708</v>
      </c>
      <c r="N66"/>
      <c r="O66"/>
      <c r="P66"/>
      <c r="Q66"/>
      <c r="R66"/>
      <c r="S66" t="s">
        <v>240</v>
      </c>
      <c r="T66" s="13" t="str">
        <f>_xlfn.DISPIMG("ID_A7C8554973CD403FAE9FF1334A4E7093",1)</f>
        <v>=DISPIMG("ID_A7C8554973CD403FAE9FF1334A4E7093",1)</v>
      </c>
      <c r="U66" s="13" t="s">
        <v>26</v>
      </c>
      <c r="V66" s="82" t="s">
        <v>29</v>
      </c>
      <c r="W66" s="20" t="s">
        <v>241</v>
      </c>
      <c r="X66"/>
    </row>
    <row r="67" s="13" customFormat="1" customHeight="1" spans="1:24">
      <c r="A67" s="3" t="s">
        <v>242</v>
      </c>
      <c r="B67" s="4">
        <v>18418593.86</v>
      </c>
      <c r="C67" s="4"/>
      <c r="D67" s="4">
        <v>102</v>
      </c>
      <c r="E67" s="4"/>
      <c r="F67" s="4"/>
      <c r="G67" s="4"/>
      <c r="H67" s="4">
        <v>17361036.04</v>
      </c>
      <c r="I67" s="4">
        <f>100-100*H67/B67</f>
        <v>5.74179455846908</v>
      </c>
      <c r="J67" s="4"/>
      <c r="K67" s="4">
        <v>7.6</v>
      </c>
      <c r="L67" s="7">
        <v>44425.375</v>
      </c>
      <c r="M67" s="8">
        <v>361</v>
      </c>
      <c r="N67"/>
      <c r="O67"/>
      <c r="P67"/>
      <c r="Q67"/>
      <c r="R67"/>
      <c r="S67" t="s">
        <v>243</v>
      </c>
      <c r="T67" t="str">
        <f>_xlfn.DISPIMG("ID_B45AC5B0931F41358AA01BD5585B5788",1)</f>
        <v>=DISPIMG("ID_B45AC5B0931F41358AA01BD5585B5788",1)</v>
      </c>
      <c r="U67" t="s">
        <v>119</v>
      </c>
      <c r="V67" s="82" t="s">
        <v>120</v>
      </c>
      <c r="W67" s="20" t="s">
        <v>244</v>
      </c>
      <c r="X67"/>
    </row>
    <row r="68" s="13" customFormat="1" customHeight="1" spans="1:24">
      <c r="A68" s="3" t="s">
        <v>245</v>
      </c>
      <c r="B68" s="4">
        <v>7334546.91</v>
      </c>
      <c r="C68" s="4"/>
      <c r="D68" s="4">
        <v>99.2</v>
      </c>
      <c r="E68" s="4">
        <v>20</v>
      </c>
      <c r="F68" s="4">
        <f>H68/B68/(D68*0.01)</f>
        <v>0.891199513385725</v>
      </c>
      <c r="G68" s="4">
        <f>100-100*F68</f>
        <v>10.8800486614275</v>
      </c>
      <c r="H68" s="4">
        <v>6484252.28</v>
      </c>
      <c r="I68" s="4">
        <f>100-100*H68/B68</f>
        <v>11.5930082721361</v>
      </c>
      <c r="J68" s="4"/>
      <c r="K68" s="4">
        <v>9.2</v>
      </c>
      <c r="L68" s="7">
        <v>44427.375</v>
      </c>
      <c r="M68" s="8">
        <v>717</v>
      </c>
      <c r="N68"/>
      <c r="O68"/>
      <c r="P68"/>
      <c r="Q68"/>
      <c r="R68"/>
      <c r="S68" t="s">
        <v>246</v>
      </c>
      <c r="T68" s="13" t="str">
        <f>_xlfn.DISPIMG("ID_A7C8554973CD403FAE9FF1334A4E7093",1)</f>
        <v>=DISPIMG("ID_A7C8554973CD403FAE9FF1334A4E7093",1)</v>
      </c>
      <c r="U68" s="13" t="s">
        <v>26</v>
      </c>
      <c r="V68" s="82" t="s">
        <v>29</v>
      </c>
      <c r="W68" s="20" t="s">
        <v>247</v>
      </c>
      <c r="X68"/>
    </row>
    <row r="69" s="13" customFormat="1" customHeight="1" spans="1:24">
      <c r="A69" s="3" t="s">
        <v>248</v>
      </c>
      <c r="B69" s="4">
        <v>7989233.08</v>
      </c>
      <c r="C69" s="4"/>
      <c r="D69" s="4">
        <v>101.6</v>
      </c>
      <c r="E69" s="4">
        <v>18</v>
      </c>
      <c r="F69" s="4">
        <f>H69/B69/(D69*0.01)</f>
        <v>0.92954724465952</v>
      </c>
      <c r="G69" s="4">
        <f>100-100*F69</f>
        <v>7.04527553404797</v>
      </c>
      <c r="H69" s="4">
        <v>7545191.51</v>
      </c>
      <c r="I69" s="4">
        <f>100-100*H69/B69</f>
        <v>5.55799994259274</v>
      </c>
      <c r="J69" s="4"/>
      <c r="K69" s="4">
        <v>6.6</v>
      </c>
      <c r="L69" s="7">
        <v>44427.375</v>
      </c>
      <c r="M69" s="8">
        <v>167</v>
      </c>
      <c r="N69"/>
      <c r="O69"/>
      <c r="P69"/>
      <c r="Q69"/>
      <c r="R69"/>
      <c r="S69" t="s">
        <v>249</v>
      </c>
      <c r="T69" s="13" t="str">
        <f>_xlfn.DISPIMG("ID_A7C8554973CD403FAE9FF1334A4E7093",1)</f>
        <v>=DISPIMG("ID_A7C8554973CD403FAE9FF1334A4E7093",1)</v>
      </c>
      <c r="U69" s="13" t="s">
        <v>26</v>
      </c>
      <c r="V69" s="87" t="s">
        <v>59</v>
      </c>
      <c r="W69" s="20" t="s">
        <v>250</v>
      </c>
      <c r="X69"/>
    </row>
    <row r="70" s="13" customFormat="1" customHeight="1" spans="1:24">
      <c r="A70" s="3" t="s">
        <v>251</v>
      </c>
      <c r="B70" s="4">
        <v>4179941.03</v>
      </c>
      <c r="C70" s="4"/>
      <c r="D70" s="4">
        <v>98</v>
      </c>
      <c r="E70" s="4">
        <v>17</v>
      </c>
      <c r="F70" s="4">
        <f>H70/B70/(D70*0.01)</f>
        <v>0.897397966792047</v>
      </c>
      <c r="G70" s="4">
        <f>100-100*F70</f>
        <v>10.2602033207953</v>
      </c>
      <c r="H70" s="4">
        <v>3676049.17</v>
      </c>
      <c r="I70" s="4">
        <f>100-100*H70/B70</f>
        <v>12.0549992543794</v>
      </c>
      <c r="J70" s="4"/>
      <c r="K70" s="4">
        <v>11.3</v>
      </c>
      <c r="L70" s="7">
        <v>44427.4375</v>
      </c>
      <c r="M70" s="8">
        <v>333</v>
      </c>
      <c r="N70"/>
      <c r="O70"/>
      <c r="P70"/>
      <c r="Q70"/>
      <c r="R70"/>
      <c r="S70" t="s">
        <v>252</v>
      </c>
      <c r="T70" s="13" t="str">
        <f>_xlfn.DISPIMG("ID_A7C8554973CD403FAE9FF1334A4E7093",1)</f>
        <v>=DISPIMG("ID_A7C8554973CD403FAE9FF1334A4E7093",1)</v>
      </c>
      <c r="U70" s="13" t="s">
        <v>26</v>
      </c>
      <c r="V70" s="82" t="s">
        <v>29</v>
      </c>
      <c r="W70" s="20"/>
      <c r="X70"/>
    </row>
    <row r="71" customFormat="1" customHeight="1" spans="1:23">
      <c r="A71" s="117" t="s">
        <v>253</v>
      </c>
      <c r="B71" s="4">
        <v>6044883.8</v>
      </c>
      <c r="C71" s="4"/>
      <c r="D71" s="4">
        <v>99.6</v>
      </c>
      <c r="E71" s="4">
        <v>20</v>
      </c>
      <c r="F71" s="4">
        <f>H71/B71/(D71*0.01)</f>
        <v>0.89181726984864</v>
      </c>
      <c r="G71" s="4">
        <f>100-100*F71</f>
        <v>10.818273015136</v>
      </c>
      <c r="H71" s="4">
        <v>5369368.04</v>
      </c>
      <c r="I71" s="4">
        <f>100-100*H71/B71</f>
        <v>11.1749999230754</v>
      </c>
      <c r="J71" s="4"/>
      <c r="K71" s="4">
        <v>10.5</v>
      </c>
      <c r="L71" s="7">
        <v>44434.375</v>
      </c>
      <c r="M71" s="8">
        <v>426</v>
      </c>
      <c r="S71" t="s">
        <v>254</v>
      </c>
      <c r="T71" s="13" t="str">
        <f>_xlfn.DISPIMG("ID_A7C8554973CD403FAE9FF1334A4E7093",1)</f>
        <v>=DISPIMG("ID_A7C8554973CD403FAE9FF1334A4E7093",1)</v>
      </c>
      <c r="U71" s="13" t="s">
        <v>26</v>
      </c>
      <c r="V71" s="82" t="s">
        <v>29</v>
      </c>
      <c r="W71" s="20" t="s">
        <v>255</v>
      </c>
    </row>
    <row r="72" s="13" customFormat="1" customHeight="1" spans="1:24">
      <c r="A72" s="118" t="s">
        <v>256</v>
      </c>
      <c r="B72" s="4">
        <v>5224419.9</v>
      </c>
      <c r="C72" s="4"/>
      <c r="D72" s="4">
        <v>0.2</v>
      </c>
      <c r="E72" s="4"/>
      <c r="F72" s="4"/>
      <c r="G72" s="4"/>
      <c r="H72" s="4">
        <v>4836503.31</v>
      </c>
      <c r="I72" s="4">
        <f>100-100*H72/B72</f>
        <v>7.42506531682112</v>
      </c>
      <c r="J72" s="4"/>
      <c r="K72" s="4">
        <v>7.6</v>
      </c>
      <c r="L72" s="7">
        <v>44435.375</v>
      </c>
      <c r="M72" s="8">
        <v>217</v>
      </c>
      <c r="N72"/>
      <c r="O72"/>
      <c r="P72"/>
      <c r="Q72"/>
      <c r="R72"/>
      <c r="S72" t="s">
        <v>257</v>
      </c>
      <c r="T72" t="str">
        <f>_xlfn.DISPIMG("ID_4EAD7450AB2C47E09A8A6BFF0FD5F2B4",1)</f>
        <v>=DISPIMG("ID_4EAD7450AB2C47E09A8A6BFF0FD5F2B4",1)</v>
      </c>
      <c r="U72" t="s">
        <v>39</v>
      </c>
      <c r="V72" s="5" t="s">
        <v>40</v>
      </c>
      <c r="W72" s="20" t="s">
        <v>258</v>
      </c>
      <c r="X72"/>
    </row>
    <row r="73" customFormat="1" customHeight="1" spans="1:23">
      <c r="A73" s="3" t="s">
        <v>259</v>
      </c>
      <c r="B73" s="4">
        <v>6128239.74</v>
      </c>
      <c r="C73" s="4"/>
      <c r="D73" s="4">
        <v>0.3</v>
      </c>
      <c r="E73" s="4"/>
      <c r="F73" s="4"/>
      <c r="G73" s="4"/>
      <c r="H73" s="4">
        <v>5912046.44</v>
      </c>
      <c r="I73" s="4">
        <f>100-100*H73/B73</f>
        <v>3.52782053529779</v>
      </c>
      <c r="J73" s="4"/>
      <c r="K73" s="4">
        <v>11.6</v>
      </c>
      <c r="L73" s="7">
        <v>44435.375</v>
      </c>
      <c r="M73" s="8">
        <v>216</v>
      </c>
      <c r="S73" t="s">
        <v>260</v>
      </c>
      <c r="T73" t="str">
        <f>_xlfn.DISPIMG("ID_4EAD7450AB2C47E09A8A6BFF0FD5F2B4",1)</f>
        <v>=DISPIMG("ID_4EAD7450AB2C47E09A8A6BFF0FD5F2B4",1)</v>
      </c>
      <c r="U73" t="s">
        <v>39</v>
      </c>
      <c r="V73" s="5" t="s">
        <v>40</v>
      </c>
      <c r="W73" s="20" t="s">
        <v>258</v>
      </c>
    </row>
    <row r="74" customFormat="1" customHeight="1" spans="1:23">
      <c r="A74" s="3" t="s">
        <v>261</v>
      </c>
      <c r="B74" s="4">
        <v>4915340.6</v>
      </c>
      <c r="C74" s="4"/>
      <c r="D74" s="4">
        <v>0.3</v>
      </c>
      <c r="E74" s="4"/>
      <c r="F74" s="4"/>
      <c r="G74" s="4"/>
      <c r="H74" s="4">
        <v>4435111.82</v>
      </c>
      <c r="I74" s="4">
        <f>100-100*H74/B74</f>
        <v>9.7700000687643</v>
      </c>
      <c r="J74" s="4"/>
      <c r="K74" s="4">
        <v>11.2</v>
      </c>
      <c r="L74" s="7">
        <v>44435.375</v>
      </c>
      <c r="M74" s="8">
        <v>215</v>
      </c>
      <c r="S74" t="s">
        <v>262</v>
      </c>
      <c r="T74" t="str">
        <f>_xlfn.DISPIMG("ID_4EAD7450AB2C47E09A8A6BFF0FD5F2B4",1)</f>
        <v>=DISPIMG("ID_4EAD7450AB2C47E09A8A6BFF0FD5F2B4",1)</v>
      </c>
      <c r="U74" t="s">
        <v>39</v>
      </c>
      <c r="V74" s="5" t="s">
        <v>40</v>
      </c>
      <c r="W74" s="20" t="s">
        <v>258</v>
      </c>
    </row>
    <row r="75" customFormat="1" customHeight="1" spans="1:23">
      <c r="A75" s="3" t="s">
        <v>263</v>
      </c>
      <c r="B75" s="4">
        <v>6073786.28</v>
      </c>
      <c r="C75" s="4"/>
      <c r="D75" s="4">
        <v>0.2</v>
      </c>
      <c r="E75" s="4"/>
      <c r="F75" s="4"/>
      <c r="G75" s="4"/>
      <c r="H75" s="4">
        <v>5728494.24</v>
      </c>
      <c r="I75" s="4">
        <f>100-100*H75/B75</f>
        <v>5.68495538173596</v>
      </c>
      <c r="J75" s="4"/>
      <c r="K75" s="4">
        <v>4.2</v>
      </c>
      <c r="L75" s="7">
        <v>44435.375</v>
      </c>
      <c r="M75" s="8">
        <v>215</v>
      </c>
      <c r="S75" t="s">
        <v>264</v>
      </c>
      <c r="T75" t="str">
        <f>_xlfn.DISPIMG("ID_4EAD7450AB2C47E09A8A6BFF0FD5F2B4",1)</f>
        <v>=DISPIMG("ID_4EAD7450AB2C47E09A8A6BFF0FD5F2B4",1)</v>
      </c>
      <c r="U75" t="s">
        <v>39</v>
      </c>
      <c r="V75" s="5" t="s">
        <v>40</v>
      </c>
      <c r="W75" s="20" t="s">
        <v>258</v>
      </c>
    </row>
    <row r="76" customFormat="1" customHeight="1" spans="1:23">
      <c r="A76" s="3" t="s">
        <v>265</v>
      </c>
      <c r="B76" s="4">
        <v>5807283.1</v>
      </c>
      <c r="C76" s="4"/>
      <c r="D76" s="4">
        <v>0.1</v>
      </c>
      <c r="E76" s="4"/>
      <c r="F76" s="4"/>
      <c r="G76" s="4"/>
      <c r="H76" s="4">
        <v>5433294.07</v>
      </c>
      <c r="I76" s="4">
        <f>100-100*H76/B76</f>
        <v>6.43999997175959</v>
      </c>
      <c r="J76" s="4"/>
      <c r="K76" s="4">
        <v>8.2</v>
      </c>
      <c r="L76" s="7">
        <v>44435.375</v>
      </c>
      <c r="M76" s="8">
        <v>214</v>
      </c>
      <c r="S76" t="s">
        <v>266</v>
      </c>
      <c r="T76" t="str">
        <f>_xlfn.DISPIMG("ID_4EAD7450AB2C47E09A8A6BFF0FD5F2B4",1)</f>
        <v>=DISPIMG("ID_4EAD7450AB2C47E09A8A6BFF0FD5F2B4",1)</v>
      </c>
      <c r="U76" t="s">
        <v>39</v>
      </c>
      <c r="V76" s="5" t="s">
        <v>40</v>
      </c>
      <c r="W76" s="20" t="s">
        <v>258</v>
      </c>
    </row>
    <row r="77" customFormat="1" customHeight="1" spans="1:23">
      <c r="A77" s="3" t="s">
        <v>267</v>
      </c>
      <c r="B77" s="4">
        <v>4158856.76</v>
      </c>
      <c r="C77" s="4"/>
      <c r="D77" s="4">
        <v>0.3</v>
      </c>
      <c r="E77" s="4"/>
      <c r="F77" s="4"/>
      <c r="G77" s="4"/>
      <c r="H77" s="4">
        <v>3693107.07</v>
      </c>
      <c r="I77" s="4">
        <f>100-100*H77/B77</f>
        <v>11.1989836841604</v>
      </c>
      <c r="J77" s="4"/>
      <c r="K77" s="4">
        <v>6.2</v>
      </c>
      <c r="L77" s="7">
        <v>44435.375</v>
      </c>
      <c r="M77" s="8">
        <v>214</v>
      </c>
      <c r="S77" t="s">
        <v>268</v>
      </c>
      <c r="T77" t="str">
        <f>_xlfn.DISPIMG("ID_4EAD7450AB2C47E09A8A6BFF0FD5F2B4",1)</f>
        <v>=DISPIMG("ID_4EAD7450AB2C47E09A8A6BFF0FD5F2B4",1)</v>
      </c>
      <c r="U77" t="s">
        <v>39</v>
      </c>
      <c r="V77" s="5" t="s">
        <v>40</v>
      </c>
      <c r="W77" s="20" t="s">
        <v>258</v>
      </c>
    </row>
    <row r="78" s="13" customFormat="1" customHeight="1" spans="1:24">
      <c r="A78" s="3" t="s">
        <v>269</v>
      </c>
      <c r="B78" s="4">
        <v>5382853</v>
      </c>
      <c r="C78" s="4"/>
      <c r="D78" s="4">
        <v>0.3</v>
      </c>
      <c r="E78" s="4"/>
      <c r="F78" s="4"/>
      <c r="G78" s="4"/>
      <c r="H78" s="4">
        <v>4942535.62</v>
      </c>
      <c r="I78" s="4">
        <f>100-100*H78/B78</f>
        <v>8.18000008545654</v>
      </c>
      <c r="J78" s="4"/>
      <c r="K78" s="4">
        <v>7.8</v>
      </c>
      <c r="L78" s="7">
        <v>44435.375</v>
      </c>
      <c r="M78" s="8">
        <v>214</v>
      </c>
      <c r="N78"/>
      <c r="O78"/>
      <c r="P78"/>
      <c r="Q78"/>
      <c r="R78"/>
      <c r="S78" t="s">
        <v>270</v>
      </c>
      <c r="T78" t="str">
        <f>_xlfn.DISPIMG("ID_4EAD7450AB2C47E09A8A6BFF0FD5F2B4",1)</f>
        <v>=DISPIMG("ID_4EAD7450AB2C47E09A8A6BFF0FD5F2B4",1)</v>
      </c>
      <c r="U78" t="s">
        <v>39</v>
      </c>
      <c r="V78" s="5" t="s">
        <v>40</v>
      </c>
      <c r="W78" s="20" t="s">
        <v>258</v>
      </c>
      <c r="X78"/>
    </row>
    <row r="79" s="13" customFormat="1" customHeight="1" spans="1:24">
      <c r="A79" s="3" t="s">
        <v>271</v>
      </c>
      <c r="B79" s="4">
        <v>5617009.93</v>
      </c>
      <c r="C79" s="4"/>
      <c r="D79" s="4">
        <v>0.1</v>
      </c>
      <c r="E79" s="4"/>
      <c r="F79" s="4"/>
      <c r="G79" s="4"/>
      <c r="H79" s="4">
        <v>5200901.83</v>
      </c>
      <c r="I79" s="4">
        <f>100-100*H79/B79</f>
        <v>7.40800007807712</v>
      </c>
      <c r="J79" s="4"/>
      <c r="K79" s="4">
        <v>6.3</v>
      </c>
      <c r="L79" s="7">
        <v>44435.375</v>
      </c>
      <c r="M79" s="8">
        <v>214</v>
      </c>
      <c r="N79"/>
      <c r="O79"/>
      <c r="P79"/>
      <c r="Q79"/>
      <c r="R79"/>
      <c r="S79" t="s">
        <v>272</v>
      </c>
      <c r="T79" t="str">
        <f>_xlfn.DISPIMG("ID_4EAD7450AB2C47E09A8A6BFF0FD5F2B4",1)</f>
        <v>=DISPIMG("ID_4EAD7450AB2C47E09A8A6BFF0FD5F2B4",1)</v>
      </c>
      <c r="U79" t="s">
        <v>39</v>
      </c>
      <c r="V79" s="5" t="s">
        <v>40</v>
      </c>
      <c r="W79" s="20" t="s">
        <v>258</v>
      </c>
      <c r="X79"/>
    </row>
    <row r="80" s="13" customFormat="1" customHeight="1" spans="1:24">
      <c r="A80" s="3" t="s">
        <v>273</v>
      </c>
      <c r="B80" s="4">
        <v>4976399.74</v>
      </c>
      <c r="C80" s="4"/>
      <c r="D80" s="4">
        <v>0.1</v>
      </c>
      <c r="E80" s="4"/>
      <c r="F80" s="4"/>
      <c r="G80" s="4"/>
      <c r="H80" s="4">
        <v>4337927.65</v>
      </c>
      <c r="I80" s="4">
        <f>100-100*H80/B80</f>
        <v>12.8300000674785</v>
      </c>
      <c r="J80" s="4"/>
      <c r="K80" s="4">
        <v>8.3</v>
      </c>
      <c r="L80" s="7">
        <v>44435.375</v>
      </c>
      <c r="M80" s="8">
        <v>213</v>
      </c>
      <c r="N80"/>
      <c r="O80"/>
      <c r="P80"/>
      <c r="Q80"/>
      <c r="R80"/>
      <c r="S80" t="s">
        <v>274</v>
      </c>
      <c r="T80" t="str">
        <f>_xlfn.DISPIMG("ID_4EAD7450AB2C47E09A8A6BFF0FD5F2B4",1)</f>
        <v>=DISPIMG("ID_4EAD7450AB2C47E09A8A6BFF0FD5F2B4",1)</v>
      </c>
      <c r="U80" t="s">
        <v>39</v>
      </c>
      <c r="V80" s="5" t="s">
        <v>40</v>
      </c>
      <c r="W80" s="20" t="s">
        <v>258</v>
      </c>
      <c r="X80"/>
    </row>
    <row r="81" customFormat="1" customHeight="1" spans="1:23">
      <c r="A81" s="3" t="s">
        <v>275</v>
      </c>
      <c r="B81" s="4">
        <v>4004158.75</v>
      </c>
      <c r="C81" s="4"/>
      <c r="D81" s="4">
        <v>0.3</v>
      </c>
      <c r="E81" s="4"/>
      <c r="F81" s="4"/>
      <c r="G81" s="4"/>
      <c r="H81" s="4">
        <v>3757382.68</v>
      </c>
      <c r="I81" s="4">
        <f>100-100*H81/B81</f>
        <v>6.16299416200719</v>
      </c>
      <c r="J81" s="4"/>
      <c r="K81" s="4">
        <v>10.3</v>
      </c>
      <c r="L81" s="7">
        <v>44435.375</v>
      </c>
      <c r="M81" s="8">
        <v>213</v>
      </c>
      <c r="S81" t="s">
        <v>276</v>
      </c>
      <c r="T81" t="str">
        <f>_xlfn.DISPIMG("ID_4EAD7450AB2C47E09A8A6BFF0FD5F2B4",1)</f>
        <v>=DISPIMG("ID_4EAD7450AB2C47E09A8A6BFF0FD5F2B4",1)</v>
      </c>
      <c r="U81" t="s">
        <v>39</v>
      </c>
      <c r="V81" s="5" t="s">
        <v>40</v>
      </c>
      <c r="W81" s="20" t="s">
        <v>258</v>
      </c>
    </row>
    <row r="82" customFormat="1" customHeight="1" spans="1:23">
      <c r="A82" s="3" t="s">
        <v>277</v>
      </c>
      <c r="B82" s="4">
        <v>4224030.54</v>
      </c>
      <c r="C82" s="4"/>
      <c r="D82" s="4">
        <v>0.1</v>
      </c>
      <c r="E82" s="4"/>
      <c r="F82" s="4"/>
      <c r="G82" s="4"/>
      <c r="H82" s="4">
        <v>3874744.69</v>
      </c>
      <c r="I82" s="4">
        <f>100-100*H82/B82</f>
        <v>8.26901810231703</v>
      </c>
      <c r="J82" s="4"/>
      <c r="K82" s="4">
        <v>9.2</v>
      </c>
      <c r="L82" s="7">
        <v>44435.375</v>
      </c>
      <c r="M82" s="8">
        <v>213</v>
      </c>
      <c r="S82" t="s">
        <v>278</v>
      </c>
      <c r="T82" t="str">
        <f>_xlfn.DISPIMG("ID_4EAD7450AB2C47E09A8A6BFF0FD5F2B4",1)</f>
        <v>=DISPIMG("ID_4EAD7450AB2C47E09A8A6BFF0FD5F2B4",1)</v>
      </c>
      <c r="U82" t="s">
        <v>39</v>
      </c>
      <c r="V82" s="5" t="s">
        <v>40</v>
      </c>
      <c r="W82" s="20" t="s">
        <v>258</v>
      </c>
    </row>
    <row r="83" s="13" customFormat="1" customHeight="1" spans="1:24">
      <c r="A83" s="3" t="s">
        <v>279</v>
      </c>
      <c r="B83" s="4">
        <v>6027141.74</v>
      </c>
      <c r="C83" s="4"/>
      <c r="D83" s="4">
        <v>0.2</v>
      </c>
      <c r="E83" s="4"/>
      <c r="F83" s="4"/>
      <c r="G83" s="4"/>
      <c r="H83" s="4">
        <v>5789371</v>
      </c>
      <c r="I83" s="4">
        <f>100-100*H83/B83</f>
        <v>3.94499997273998</v>
      </c>
      <c r="J83" s="4"/>
      <c r="K83" s="4">
        <v>5.8</v>
      </c>
      <c r="L83" s="7">
        <v>44435.375</v>
      </c>
      <c r="M83" s="8">
        <v>213</v>
      </c>
      <c r="N83"/>
      <c r="O83"/>
      <c r="P83"/>
      <c r="Q83"/>
      <c r="R83"/>
      <c r="S83" t="s">
        <v>280</v>
      </c>
      <c r="T83" t="str">
        <f>_xlfn.DISPIMG("ID_4EAD7450AB2C47E09A8A6BFF0FD5F2B4",1)</f>
        <v>=DISPIMG("ID_4EAD7450AB2C47E09A8A6BFF0FD5F2B4",1)</v>
      </c>
      <c r="U83" t="s">
        <v>39</v>
      </c>
      <c r="V83" s="5" t="s">
        <v>40</v>
      </c>
      <c r="W83" s="20" t="s">
        <v>258</v>
      </c>
      <c r="X83"/>
    </row>
    <row r="84" customFormat="1" customHeight="1" spans="1:23">
      <c r="A84" s="3" t="s">
        <v>281</v>
      </c>
      <c r="B84" s="4">
        <v>3673443.43</v>
      </c>
      <c r="C84" s="4"/>
      <c r="D84" s="4">
        <v>0.2</v>
      </c>
      <c r="E84" s="4"/>
      <c r="F84" s="4"/>
      <c r="G84" s="4"/>
      <c r="H84" s="4">
        <v>3396465.8</v>
      </c>
      <c r="I84" s="4">
        <f>100-100*H84/B84</f>
        <v>7.53999987417801</v>
      </c>
      <c r="J84" s="4"/>
      <c r="K84" s="4">
        <v>10</v>
      </c>
      <c r="L84" s="7">
        <v>44435.375</v>
      </c>
      <c r="M84" s="8">
        <v>212</v>
      </c>
      <c r="S84" t="s">
        <v>282</v>
      </c>
      <c r="T84" t="str">
        <f>_xlfn.DISPIMG("ID_4EAD7450AB2C47E09A8A6BFF0FD5F2B4",1)</f>
        <v>=DISPIMG("ID_4EAD7450AB2C47E09A8A6BFF0FD5F2B4",1)</v>
      </c>
      <c r="U84" t="s">
        <v>39</v>
      </c>
      <c r="V84" s="5" t="s">
        <v>40</v>
      </c>
      <c r="W84" s="20" t="s">
        <v>258</v>
      </c>
    </row>
    <row r="85" customFormat="1" customHeight="1" spans="1:23">
      <c r="A85" s="3" t="s">
        <v>283</v>
      </c>
      <c r="B85" s="4">
        <v>3458604.82</v>
      </c>
      <c r="C85" s="4"/>
      <c r="D85" s="4">
        <v>0.2</v>
      </c>
      <c r="E85" s="4"/>
      <c r="F85" s="4"/>
      <c r="G85" s="4"/>
      <c r="H85" s="4">
        <v>3129340.2</v>
      </c>
      <c r="I85" s="4">
        <f>100-100*H85/B85</f>
        <v>9.52015732170291</v>
      </c>
      <c r="J85" s="4"/>
      <c r="K85" s="4">
        <v>7.8</v>
      </c>
      <c r="L85" s="7">
        <v>44435.375</v>
      </c>
      <c r="M85" s="8">
        <v>212</v>
      </c>
      <c r="S85" t="s">
        <v>284</v>
      </c>
      <c r="T85" t="str">
        <f>_xlfn.DISPIMG("ID_4EAD7450AB2C47E09A8A6BFF0FD5F2B4",1)</f>
        <v>=DISPIMG("ID_4EAD7450AB2C47E09A8A6BFF0FD5F2B4",1)</v>
      </c>
      <c r="U85" t="s">
        <v>39</v>
      </c>
      <c r="V85" s="5" t="s">
        <v>40</v>
      </c>
      <c r="W85" s="20" t="s">
        <v>258</v>
      </c>
    </row>
    <row r="86" s="13" customFormat="1" customHeight="1" spans="1:24">
      <c r="A86" s="3" t="s">
        <v>285</v>
      </c>
      <c r="B86" s="4">
        <v>4692195.64</v>
      </c>
      <c r="C86" s="4"/>
      <c r="D86" s="4">
        <v>0.2</v>
      </c>
      <c r="E86" s="4"/>
      <c r="F86" s="4"/>
      <c r="G86" s="4"/>
      <c r="H86" s="4">
        <v>4392558.53</v>
      </c>
      <c r="I86" s="4">
        <f>100-100*H86/B86</f>
        <v>6.38586139600947</v>
      </c>
      <c r="J86" s="4"/>
      <c r="K86" s="4">
        <v>7.2</v>
      </c>
      <c r="L86" s="7">
        <v>44435.375</v>
      </c>
      <c r="M86" s="8">
        <v>212</v>
      </c>
      <c r="N86"/>
      <c r="O86"/>
      <c r="P86"/>
      <c r="Q86"/>
      <c r="R86"/>
      <c r="S86" t="s">
        <v>286</v>
      </c>
      <c r="T86" t="str">
        <f>_xlfn.DISPIMG("ID_4EAD7450AB2C47E09A8A6BFF0FD5F2B4",1)</f>
        <v>=DISPIMG("ID_4EAD7450AB2C47E09A8A6BFF0FD5F2B4",1)</v>
      </c>
      <c r="U86" t="s">
        <v>39</v>
      </c>
      <c r="V86" s="5" t="s">
        <v>40</v>
      </c>
      <c r="W86" s="20" t="s">
        <v>258</v>
      </c>
      <c r="X86"/>
    </row>
    <row r="87" s="13" customFormat="1" customHeight="1" spans="1:24">
      <c r="A87" s="3" t="s">
        <v>287</v>
      </c>
      <c r="B87" s="4">
        <v>4331243.92</v>
      </c>
      <c r="C87" s="4"/>
      <c r="D87" s="4">
        <v>0.1</v>
      </c>
      <c r="E87" s="4"/>
      <c r="F87" s="4"/>
      <c r="G87" s="4"/>
      <c r="H87" s="4">
        <v>3831071.87</v>
      </c>
      <c r="I87" s="4">
        <f>100-100*H87/B87</f>
        <v>11.5480000489097</v>
      </c>
      <c r="J87" s="4"/>
      <c r="K87" s="4">
        <v>8.3</v>
      </c>
      <c r="L87" s="7">
        <v>44435.375</v>
      </c>
      <c r="M87" s="8">
        <v>211</v>
      </c>
      <c r="N87"/>
      <c r="O87"/>
      <c r="P87"/>
      <c r="Q87"/>
      <c r="R87"/>
      <c r="S87" t="s">
        <v>288</v>
      </c>
      <c r="T87" t="str">
        <f>_xlfn.DISPIMG("ID_4EAD7450AB2C47E09A8A6BFF0FD5F2B4",1)</f>
        <v>=DISPIMG("ID_4EAD7450AB2C47E09A8A6BFF0FD5F2B4",1)</v>
      </c>
      <c r="U87" t="s">
        <v>39</v>
      </c>
      <c r="V87" s="5" t="s">
        <v>40</v>
      </c>
      <c r="W87" s="20" t="s">
        <v>258</v>
      </c>
      <c r="X87"/>
    </row>
    <row r="88" s="13" customFormat="1" customHeight="1" spans="1:24">
      <c r="A88" s="3" t="s">
        <v>289</v>
      </c>
      <c r="B88" s="4">
        <v>4693350.11</v>
      </c>
      <c r="C88" s="4"/>
      <c r="D88" s="4">
        <v>0.1</v>
      </c>
      <c r="E88" s="4"/>
      <c r="F88" s="4"/>
      <c r="G88" s="4"/>
      <c r="H88" s="4">
        <v>4224062.03</v>
      </c>
      <c r="I88" s="4">
        <f>100-100*H88/B88</f>
        <v>9.9990000532903</v>
      </c>
      <c r="J88" s="4"/>
      <c r="K88" s="4">
        <v>4.8</v>
      </c>
      <c r="L88" s="7">
        <v>44435.375</v>
      </c>
      <c r="M88" s="8">
        <v>210</v>
      </c>
      <c r="N88"/>
      <c r="O88"/>
      <c r="P88"/>
      <c r="Q88"/>
      <c r="R88"/>
      <c r="S88" t="s">
        <v>290</v>
      </c>
      <c r="T88" t="str">
        <f>_xlfn.DISPIMG("ID_4EAD7450AB2C47E09A8A6BFF0FD5F2B4",1)</f>
        <v>=DISPIMG("ID_4EAD7450AB2C47E09A8A6BFF0FD5F2B4",1)</v>
      </c>
      <c r="U88" t="s">
        <v>39</v>
      </c>
      <c r="V88" s="5" t="s">
        <v>40</v>
      </c>
      <c r="W88" s="20" t="s">
        <v>258</v>
      </c>
      <c r="X88"/>
    </row>
    <row r="89" s="13" customFormat="1" customHeight="1" spans="1:24">
      <c r="A89" s="3" t="s">
        <v>291</v>
      </c>
      <c r="B89" s="4">
        <v>3804957.13</v>
      </c>
      <c r="C89" s="4"/>
      <c r="D89" s="4">
        <v>0.3</v>
      </c>
      <c r="E89" s="4"/>
      <c r="F89" s="4"/>
      <c r="G89" s="4"/>
      <c r="H89" s="4">
        <v>3590685.91</v>
      </c>
      <c r="I89" s="4">
        <f>100-100*H89/B89</f>
        <v>5.63137014897195</v>
      </c>
      <c r="J89" s="4"/>
      <c r="K89" s="4">
        <v>9.3</v>
      </c>
      <c r="L89" s="7">
        <v>44435.375</v>
      </c>
      <c r="M89" s="8">
        <v>209</v>
      </c>
      <c r="N89"/>
      <c r="O89"/>
      <c r="P89"/>
      <c r="Q89"/>
      <c r="R89"/>
      <c r="S89" t="s">
        <v>292</v>
      </c>
      <c r="T89" t="str">
        <f>_xlfn.DISPIMG("ID_4EAD7450AB2C47E09A8A6BFF0FD5F2B4",1)</f>
        <v>=DISPIMG("ID_4EAD7450AB2C47E09A8A6BFF0FD5F2B4",1)</v>
      </c>
      <c r="U89" t="s">
        <v>39</v>
      </c>
      <c r="V89" s="5" t="s">
        <v>40</v>
      </c>
      <c r="W89" s="20" t="s">
        <v>258</v>
      </c>
      <c r="X89"/>
    </row>
    <row r="90" s="13" customFormat="1" customHeight="1" spans="1:24">
      <c r="A90" s="3" t="s">
        <v>293</v>
      </c>
      <c r="B90" s="4">
        <v>23990383.32</v>
      </c>
      <c r="C90" s="4"/>
      <c r="D90" s="4">
        <v>101.2</v>
      </c>
      <c r="E90" s="4">
        <v>16</v>
      </c>
      <c r="F90" s="4">
        <f>H90/B90/(D90*0.01)</f>
        <v>0.93094960458567</v>
      </c>
      <c r="G90" s="4">
        <f>100-100*F90</f>
        <v>6.90503954143303</v>
      </c>
      <c r="H90" s="4">
        <v>22601843.92</v>
      </c>
      <c r="I90" s="4">
        <f>100-100*H90/B90</f>
        <v>5.78790001593022</v>
      </c>
      <c r="J90" s="4"/>
      <c r="K90" s="4">
        <v>6.8</v>
      </c>
      <c r="L90" s="7">
        <v>44440.4375</v>
      </c>
      <c r="M90" s="8">
        <v>324</v>
      </c>
      <c r="N90"/>
      <c r="O90"/>
      <c r="P90"/>
      <c r="Q90"/>
      <c r="R90"/>
      <c r="S90" t="s">
        <v>294</v>
      </c>
      <c r="T90" s="13" t="str">
        <f>_xlfn.DISPIMG("ID_A7C8554973CD403FAE9FF1334A4E7093",1)</f>
        <v>=DISPIMG("ID_A7C8554973CD403FAE9FF1334A4E7093",1)</v>
      </c>
      <c r="U90" s="13" t="s">
        <v>26</v>
      </c>
      <c r="V90" s="82" t="s">
        <v>82</v>
      </c>
      <c r="W90" s="20" t="s">
        <v>295</v>
      </c>
      <c r="X90"/>
    </row>
    <row r="91" s="13" customFormat="1" customHeight="1" spans="1:24">
      <c r="A91" s="3" t="s">
        <v>296</v>
      </c>
      <c r="B91" s="4">
        <v>34246926.93</v>
      </c>
      <c r="C91" s="4"/>
      <c r="D91" s="4">
        <v>0.4</v>
      </c>
      <c r="E91" s="4"/>
      <c r="F91" s="4"/>
      <c r="G91" s="4"/>
      <c r="H91" s="4">
        <v>32198960.7</v>
      </c>
      <c r="I91" s="4">
        <f>100-100*H91/B91</f>
        <v>5.97999999879113</v>
      </c>
      <c r="J91" s="4"/>
      <c r="K91" s="4">
        <v>7.6</v>
      </c>
      <c r="L91" s="7">
        <v>44441.375</v>
      </c>
      <c r="M91" s="8">
        <v>82</v>
      </c>
      <c r="N91"/>
      <c r="O91"/>
      <c r="P91"/>
      <c r="Q91"/>
      <c r="R91"/>
      <c r="S91" t="s">
        <v>297</v>
      </c>
      <c r="T91" t="str">
        <f>_xlfn.DISPIMG("ID_DA525B631F12498FBD4C0447472A2F2C",1)</f>
        <v>=DISPIMG("ID_DA525B631F12498FBD4C0447472A2F2C",1)</v>
      </c>
      <c r="U91" t="s">
        <v>225</v>
      </c>
      <c r="V91" s="82" t="s">
        <v>29</v>
      </c>
      <c r="W91" s="20"/>
      <c r="X91"/>
    </row>
    <row r="92" s="13" customFormat="1" customHeight="1" spans="1:24">
      <c r="A92" s="3" t="s">
        <v>298</v>
      </c>
      <c r="B92" s="4">
        <v>37206957.17</v>
      </c>
      <c r="C92" s="4"/>
      <c r="D92" s="4"/>
      <c r="E92" s="4"/>
      <c r="F92" s="4"/>
      <c r="G92" s="4"/>
      <c r="H92" s="4">
        <v>32325154.35</v>
      </c>
      <c r="I92" s="4">
        <f>100-100*H92/B92</f>
        <v>13.120672022963</v>
      </c>
      <c r="J92" s="4"/>
      <c r="K92" s="4">
        <v>6.68</v>
      </c>
      <c r="L92" s="7">
        <v>44442.375</v>
      </c>
      <c r="M92" s="8">
        <v>276</v>
      </c>
      <c r="N92"/>
      <c r="O92"/>
      <c r="P92"/>
      <c r="Q92"/>
      <c r="R92"/>
      <c r="S92" t="s">
        <v>299</v>
      </c>
      <c r="T92" s="13" t="str">
        <f>_xlfn.DISPIMG("ID_A7C8554973CD403FAE9FF1334A4E7093",1)</f>
        <v>=DISPIMG("ID_A7C8554973CD403FAE9FF1334A4E7093",1)</v>
      </c>
      <c r="U92" s="13" t="s">
        <v>26</v>
      </c>
      <c r="V92" s="82" t="s">
        <v>29</v>
      </c>
      <c r="W92" s="20" t="s">
        <v>300</v>
      </c>
      <c r="X92"/>
    </row>
    <row r="93" s="13" customFormat="1" customHeight="1" spans="1:24">
      <c r="A93" s="3" t="s">
        <v>301</v>
      </c>
      <c r="B93" s="4">
        <v>8173345.5</v>
      </c>
      <c r="C93" s="4"/>
      <c r="D93" s="4">
        <v>0.5</v>
      </c>
      <c r="E93" s="4"/>
      <c r="F93" s="4"/>
      <c r="G93" s="4"/>
      <c r="H93" s="4">
        <v>7993531.9</v>
      </c>
      <c r="I93" s="4">
        <f>100-100*H93/B93</f>
        <v>2.19999998776511</v>
      </c>
      <c r="J93" s="4"/>
      <c r="K93" s="4">
        <v>11.68</v>
      </c>
      <c r="L93" s="7">
        <v>44447.375</v>
      </c>
      <c r="M93" s="8">
        <v>110</v>
      </c>
      <c r="N93"/>
      <c r="O93"/>
      <c r="P93"/>
      <c r="Q93"/>
      <c r="R93"/>
      <c r="S93" t="s">
        <v>302</v>
      </c>
      <c r="T93" s="13" t="str">
        <f>_xlfn.DISPIMG("ID_DA525B631F12498FBD4C0447472A2F2C",1)</f>
        <v>=DISPIMG("ID_DA525B631F12498FBD4C0447472A2F2C",1)</v>
      </c>
      <c r="U93" s="13" t="s">
        <v>225</v>
      </c>
      <c r="V93" s="82" t="s">
        <v>29</v>
      </c>
      <c r="W93" s="20" t="s">
        <v>303</v>
      </c>
      <c r="X93"/>
    </row>
    <row r="94" customFormat="1" customHeight="1" spans="1:23">
      <c r="A94" s="3" t="s">
        <v>304</v>
      </c>
      <c r="B94" s="4">
        <v>5085887.12</v>
      </c>
      <c r="C94" s="4"/>
      <c r="D94" s="4">
        <v>0.3</v>
      </c>
      <c r="E94" s="4"/>
      <c r="F94" s="4"/>
      <c r="G94" s="4"/>
      <c r="H94" s="4">
        <v>4766675.78</v>
      </c>
      <c r="I94" s="4">
        <f>100-100*H94/B94</f>
        <v>6.27641417255836</v>
      </c>
      <c r="J94" s="4"/>
      <c r="K94" s="4">
        <v>7.2</v>
      </c>
      <c r="L94" s="7">
        <v>44447.7291666667</v>
      </c>
      <c r="M94" s="8">
        <v>28</v>
      </c>
      <c r="S94" t="s">
        <v>305</v>
      </c>
      <c r="T94" t="str">
        <f>_xlfn.DISPIMG("ID_7E30A0C72CA24E35A1D573081A7F242E",1)</f>
        <v>=DISPIMG("ID_7E30A0C72CA24E35A1D573081A7F242E",1)</v>
      </c>
      <c r="U94" t="s">
        <v>189</v>
      </c>
      <c r="V94" s="5" t="s">
        <v>40</v>
      </c>
      <c r="W94" s="20"/>
    </row>
    <row r="95" s="13" customFormat="1" customHeight="1" spans="1:24">
      <c r="A95" s="3" t="s">
        <v>306</v>
      </c>
      <c r="B95" s="4">
        <v>12478512.51</v>
      </c>
      <c r="C95" s="4"/>
      <c r="D95" s="4">
        <v>0.3</v>
      </c>
      <c r="E95" s="4"/>
      <c r="F95" s="4"/>
      <c r="G95" s="4"/>
      <c r="H95" s="4">
        <v>11937568.99</v>
      </c>
      <c r="I95" s="4">
        <f>100-100*H95/B95</f>
        <v>4.33500002156907</v>
      </c>
      <c r="J95" s="4"/>
      <c r="K95" s="4">
        <v>5.6</v>
      </c>
      <c r="L95" s="7">
        <v>44448.375</v>
      </c>
      <c r="M95" s="8">
        <v>70</v>
      </c>
      <c r="N95"/>
      <c r="O95"/>
      <c r="P95"/>
      <c r="Q95"/>
      <c r="R95"/>
      <c r="S95" t="s">
        <v>307</v>
      </c>
      <c r="T95" t="str">
        <f>_xlfn.DISPIMG("ID_AE0769914C7045949C1A2334D1056090",1)</f>
        <v>=DISPIMG("ID_AE0769914C7045949C1A2334D1056090",1)</v>
      </c>
      <c r="U95" t="s">
        <v>308</v>
      </c>
      <c r="V95" s="86" t="s">
        <v>309</v>
      </c>
      <c r="W95" s="20" t="s">
        <v>310</v>
      </c>
      <c r="X95"/>
    </row>
    <row r="96" s="13" customFormat="1" customHeight="1" spans="1:24">
      <c r="A96" s="3" t="s">
        <v>311</v>
      </c>
      <c r="B96" s="4">
        <v>9398883.72</v>
      </c>
      <c r="C96" s="4"/>
      <c r="D96" s="4"/>
      <c r="E96" s="4"/>
      <c r="F96" s="4"/>
      <c r="G96" s="4"/>
      <c r="H96" s="4">
        <v>8573928.53</v>
      </c>
      <c r="I96" s="4">
        <f>100-100*H96/B96</f>
        <v>8.77716135847675</v>
      </c>
      <c r="J96" s="4"/>
      <c r="K96" s="4">
        <v>7.2</v>
      </c>
      <c r="L96" s="7">
        <v>44448.375</v>
      </c>
      <c r="M96" s="8"/>
      <c r="N96"/>
      <c r="O96"/>
      <c r="P96"/>
      <c r="Q96"/>
      <c r="R96"/>
      <c r="S96" t="s">
        <v>312</v>
      </c>
      <c r="T96" t="str">
        <f>_xlfn.DISPIMG("ID_87ED0F4657E5454A80DCDDB38A3AE5EE",1)</f>
        <v>=DISPIMG("ID_87ED0F4657E5454A80DCDDB38A3AE5EE",1)</v>
      </c>
      <c r="U96" t="s">
        <v>81</v>
      </c>
      <c r="V96" s="82" t="s">
        <v>29</v>
      </c>
      <c r="W96" s="20" t="s">
        <v>313</v>
      </c>
      <c r="X96"/>
    </row>
    <row r="97" s="13" customFormat="1" customHeight="1" spans="1:24">
      <c r="A97" s="3" t="s">
        <v>314</v>
      </c>
      <c r="B97" s="4">
        <v>2060313</v>
      </c>
      <c r="C97" s="4"/>
      <c r="D97" s="4"/>
      <c r="E97" s="4"/>
      <c r="F97" s="4"/>
      <c r="G97" s="4"/>
      <c r="H97" s="4">
        <v>1785790.9</v>
      </c>
      <c r="I97" s="4">
        <f>100-100*H97/B97</f>
        <v>13.3242910179182</v>
      </c>
      <c r="J97" s="4"/>
      <c r="K97" s="4">
        <v>4.2</v>
      </c>
      <c r="L97" s="7">
        <v>44449.375</v>
      </c>
      <c r="M97" s="8">
        <v>90</v>
      </c>
      <c r="N97"/>
      <c r="O97"/>
      <c r="P97"/>
      <c r="Q97"/>
      <c r="R97"/>
      <c r="S97" s="35" t="s">
        <v>315</v>
      </c>
      <c r="T97" t="str">
        <f>_xlfn.DISPIMG("ID_A5C5C48DA77F4825959FA26444F402F2",1)</f>
        <v>=DISPIMG("ID_A5C5C48DA77F4825959FA26444F402F2",1)</v>
      </c>
      <c r="U97" t="s">
        <v>162</v>
      </c>
      <c r="V97" s="31" t="s">
        <v>316</v>
      </c>
      <c r="W97" s="20" t="s">
        <v>317</v>
      </c>
      <c r="X97"/>
    </row>
    <row r="98" s="13" customFormat="1" customHeight="1" spans="1:24">
      <c r="A98" s="117" t="s">
        <v>318</v>
      </c>
      <c r="B98" s="4">
        <v>5601113.71</v>
      </c>
      <c r="C98" s="4"/>
      <c r="D98" s="4">
        <v>0.2</v>
      </c>
      <c r="E98" s="4"/>
      <c r="F98" s="4"/>
      <c r="G98" s="4"/>
      <c r="H98" s="4">
        <v>5158625.73</v>
      </c>
      <c r="I98" s="4">
        <f>100-100*H98/B98</f>
        <v>7.89999994483239</v>
      </c>
      <c r="J98" s="4"/>
      <c r="K98" s="4">
        <v>12.5</v>
      </c>
      <c r="L98" s="7">
        <v>44455.375</v>
      </c>
      <c r="M98" s="8">
        <v>180</v>
      </c>
      <c r="N98"/>
      <c r="O98"/>
      <c r="P98"/>
      <c r="Q98"/>
      <c r="R98"/>
      <c r="S98" t="s">
        <v>319</v>
      </c>
      <c r="T98" t="str">
        <f>_xlfn.DISPIMG("ID_4EAD7450AB2C47E09A8A6BFF0FD5F2B4",1)</f>
        <v>=DISPIMG("ID_4EAD7450AB2C47E09A8A6BFF0FD5F2B4",1)</v>
      </c>
      <c r="U98" t="s">
        <v>39</v>
      </c>
      <c r="V98" s="31" t="s">
        <v>316</v>
      </c>
      <c r="W98" s="20" t="s">
        <v>320</v>
      </c>
      <c r="X98"/>
    </row>
    <row r="99" s="13" customFormat="1" customHeight="1" spans="1:24">
      <c r="A99" s="3" t="s">
        <v>321</v>
      </c>
      <c r="B99" s="4">
        <v>2628980.26</v>
      </c>
      <c r="C99" s="4"/>
      <c r="D99" s="4">
        <v>98</v>
      </c>
      <c r="E99" s="4"/>
      <c r="F99" s="4"/>
      <c r="G99" s="4"/>
      <c r="H99" s="4">
        <v>2247167.46</v>
      </c>
      <c r="I99" s="4">
        <f>100-100*H99/B99</f>
        <v>14.5232281051817</v>
      </c>
      <c r="J99" s="4"/>
      <c r="K99" s="4">
        <v>11.8</v>
      </c>
      <c r="L99" s="7">
        <v>44456.375</v>
      </c>
      <c r="M99" s="8">
        <v>106</v>
      </c>
      <c r="N99"/>
      <c r="O99"/>
      <c r="P99"/>
      <c r="Q99"/>
      <c r="R99"/>
      <c r="S99" t="s">
        <v>322</v>
      </c>
      <c r="T99" t="str">
        <f>_xlfn.DISPIMG("ID_E6776FABE9904741995EC9430A1D9126",1)</f>
        <v>=DISPIMG("ID_E6776FABE9904741995EC9430A1D9126",1)</v>
      </c>
      <c r="U99" t="s">
        <v>323</v>
      </c>
      <c r="V99" s="31" t="s">
        <v>316</v>
      </c>
      <c r="W99" s="20" t="s">
        <v>324</v>
      </c>
      <c r="X99"/>
    </row>
    <row r="100" s="13" customFormat="1" customHeight="1" spans="1:24">
      <c r="A100" s="3" t="s">
        <v>325</v>
      </c>
      <c r="B100" s="4">
        <v>6632729.46</v>
      </c>
      <c r="C100" s="4"/>
      <c r="D100" s="4">
        <v>0.3</v>
      </c>
      <c r="E100" s="4"/>
      <c r="F100" s="4"/>
      <c r="G100" s="4"/>
      <c r="H100" s="4">
        <v>6343323.72</v>
      </c>
      <c r="I100" s="4">
        <f>100-100*H100/B100</f>
        <v>4.36329782098484</v>
      </c>
      <c r="J100" s="4"/>
      <c r="K100" s="4">
        <v>6.8</v>
      </c>
      <c r="L100" s="7">
        <v>44457.375</v>
      </c>
      <c r="M100" s="8">
        <v>77</v>
      </c>
      <c r="N100"/>
      <c r="O100"/>
      <c r="P100"/>
      <c r="Q100"/>
      <c r="R100"/>
      <c r="S100" t="s">
        <v>326</v>
      </c>
      <c r="T100" t="str">
        <f>_xlfn.DISPIMG("ID_7E30A0C72CA24E35A1D573081A7F242E",1)</f>
        <v>=DISPIMG("ID_7E30A0C72CA24E35A1D573081A7F242E",1)</v>
      </c>
      <c r="U100" t="s">
        <v>189</v>
      </c>
      <c r="V100" s="31" t="s">
        <v>316</v>
      </c>
      <c r="W100" s="20"/>
      <c r="X100"/>
    </row>
    <row r="101" s="13" customFormat="1" customHeight="1" spans="1:24">
      <c r="A101" s="3" t="s">
        <v>327</v>
      </c>
      <c r="B101" s="4">
        <v>969268.29</v>
      </c>
      <c r="C101" s="4"/>
      <c r="D101" s="4">
        <v>98</v>
      </c>
      <c r="E101" s="4">
        <v>13</v>
      </c>
      <c r="F101" s="4">
        <f>H101/B101/(D101*0.01)</f>
        <v>0.959373641512188</v>
      </c>
      <c r="G101" s="4">
        <f>100-100*F101</f>
        <v>4.06263584878116</v>
      </c>
      <c r="H101" s="4">
        <v>911292.64</v>
      </c>
      <c r="I101" s="4">
        <f>100-100*H101/B101</f>
        <v>5.98138313180554</v>
      </c>
      <c r="J101" s="4"/>
      <c r="K101" s="4">
        <v>4.9</v>
      </c>
      <c r="L101" s="7">
        <v>44461.625</v>
      </c>
      <c r="M101" s="8">
        <v>33</v>
      </c>
      <c r="N101"/>
      <c r="O101"/>
      <c r="P101"/>
      <c r="Q101"/>
      <c r="R101"/>
      <c r="S101" t="s">
        <v>328</v>
      </c>
      <c r="T101" s="13" t="str">
        <f>_xlfn.DISPIMG("ID_A7C8554973CD403FAE9FF1334A4E7093",1)</f>
        <v>=DISPIMG("ID_A7C8554973CD403FAE9FF1334A4E7093",1)</v>
      </c>
      <c r="U101" s="13" t="s">
        <v>26</v>
      </c>
      <c r="V101" s="82" t="s">
        <v>329</v>
      </c>
      <c r="W101" s="20" t="s">
        <v>330</v>
      </c>
      <c r="X101"/>
    </row>
    <row r="102" s="13" customFormat="1" customHeight="1" spans="1:24">
      <c r="A102" s="3" t="s">
        <v>331</v>
      </c>
      <c r="B102" s="4">
        <v>6515842.83</v>
      </c>
      <c r="C102" s="4"/>
      <c r="D102" s="4">
        <v>0.3</v>
      </c>
      <c r="E102" s="4"/>
      <c r="F102" s="4"/>
      <c r="G102" s="4"/>
      <c r="H102" s="4">
        <v>6089120.28</v>
      </c>
      <c r="I102" s="4">
        <f>100-100*H102/B102</f>
        <v>6.54900004701311</v>
      </c>
      <c r="J102" s="4"/>
      <c r="K102" s="4">
        <v>5.3</v>
      </c>
      <c r="L102" s="7">
        <v>44462.375</v>
      </c>
      <c r="M102" s="8">
        <v>45</v>
      </c>
      <c r="N102"/>
      <c r="O102"/>
      <c r="P102"/>
      <c r="Q102"/>
      <c r="R102"/>
      <c r="S102" t="s">
        <v>332</v>
      </c>
      <c r="T102" t="str">
        <f>_xlfn.DISPIMG("ID_4EAD7450AB2C47E09A8A6BFF0FD5F2B4",1)</f>
        <v>=DISPIMG("ID_4EAD7450AB2C47E09A8A6BFF0FD5F2B4",1)</v>
      </c>
      <c r="U102" t="s">
        <v>39</v>
      </c>
      <c r="V102" s="5" t="s">
        <v>40</v>
      </c>
      <c r="W102" s="20"/>
      <c r="X102"/>
    </row>
    <row r="103" s="13" customFormat="1" customHeight="1" spans="1:24">
      <c r="A103" s="3" t="s">
        <v>333</v>
      </c>
      <c r="B103" s="4">
        <v>6565407.58</v>
      </c>
      <c r="C103" s="4"/>
      <c r="D103" s="4">
        <v>0.3</v>
      </c>
      <c r="E103" s="4"/>
      <c r="F103" s="4"/>
      <c r="G103" s="4"/>
      <c r="H103" s="4">
        <v>6109760</v>
      </c>
      <c r="I103" s="4">
        <f>100-100*H103/B103</f>
        <v>6.94012632799867</v>
      </c>
      <c r="J103" s="4"/>
      <c r="K103" s="4">
        <v>6.6</v>
      </c>
      <c r="L103" s="7">
        <v>44462.3958333333</v>
      </c>
      <c r="M103" s="8">
        <v>46</v>
      </c>
      <c r="N103"/>
      <c r="O103"/>
      <c r="P103"/>
      <c r="Q103"/>
      <c r="R103"/>
      <c r="S103" s="35" t="s">
        <v>334</v>
      </c>
      <c r="T103" t="str">
        <f>_xlfn.DISPIMG("ID_4EAD7450AB2C47E09A8A6BFF0FD5F2B4",1)</f>
        <v>=DISPIMG("ID_4EAD7450AB2C47E09A8A6BFF0FD5F2B4",1)</v>
      </c>
      <c r="U103" t="s">
        <v>39</v>
      </c>
      <c r="V103" s="5" t="s">
        <v>40</v>
      </c>
      <c r="W103" s="20"/>
      <c r="X103"/>
    </row>
    <row r="104" s="13" customFormat="1" customHeight="1" spans="1:24">
      <c r="A104" s="3" t="s">
        <v>335</v>
      </c>
      <c r="B104" s="4">
        <v>5855774.12</v>
      </c>
      <c r="C104" s="4"/>
      <c r="D104" s="4">
        <v>0.2</v>
      </c>
      <c r="E104" s="4"/>
      <c r="F104" s="4"/>
      <c r="G104" s="4"/>
      <c r="H104" s="4">
        <v>5393167.96</v>
      </c>
      <c r="I104" s="4">
        <f>100-100*H104/B104</f>
        <v>7.90000007718878</v>
      </c>
      <c r="J104" s="4"/>
      <c r="K104" s="4">
        <v>6.8</v>
      </c>
      <c r="L104" s="7">
        <v>44462.4166666667</v>
      </c>
      <c r="M104" s="8">
        <v>43</v>
      </c>
      <c r="N104"/>
      <c r="O104"/>
      <c r="P104"/>
      <c r="Q104"/>
      <c r="R104"/>
      <c r="S104" t="s">
        <v>336</v>
      </c>
      <c r="T104" t="str">
        <f>_xlfn.DISPIMG("ID_4EAD7450AB2C47E09A8A6BFF0FD5F2B4",1)</f>
        <v>=DISPIMG("ID_4EAD7450AB2C47E09A8A6BFF0FD5F2B4",1)</v>
      </c>
      <c r="U104" t="s">
        <v>39</v>
      </c>
      <c r="V104" s="5" t="s">
        <v>40</v>
      </c>
      <c r="W104" s="20"/>
      <c r="X104"/>
    </row>
    <row r="105" s="13" customFormat="1" customHeight="1" spans="1:24">
      <c r="A105" s="3" t="s">
        <v>337</v>
      </c>
      <c r="B105" s="4">
        <v>5532668</v>
      </c>
      <c r="C105" s="4"/>
      <c r="D105" s="4">
        <v>101.6</v>
      </c>
      <c r="E105" s="4"/>
      <c r="F105" s="4"/>
      <c r="G105" s="4"/>
      <c r="H105" s="4">
        <v>5021771.38</v>
      </c>
      <c r="I105" s="4">
        <f>100-100*H105/B105</f>
        <v>9.2341817726999</v>
      </c>
      <c r="J105" s="4"/>
      <c r="K105" s="4">
        <v>6.7</v>
      </c>
      <c r="L105" s="7">
        <v>44463.375</v>
      </c>
      <c r="M105" s="8">
        <v>179</v>
      </c>
      <c r="N105"/>
      <c r="O105"/>
      <c r="P105"/>
      <c r="Q105"/>
      <c r="R105"/>
      <c r="S105" t="s">
        <v>338</v>
      </c>
      <c r="T105" t="str">
        <f>_xlfn.DISPIMG("ID_B45AC5B0931F41358AA01BD5585B5788",1)</f>
        <v>=DISPIMG("ID_B45AC5B0931F41358AA01BD5585B5788",1)</v>
      </c>
      <c r="U105" t="s">
        <v>119</v>
      </c>
      <c r="V105" s="82" t="s">
        <v>120</v>
      </c>
      <c r="W105" s="20" t="s">
        <v>339</v>
      </c>
      <c r="X105"/>
    </row>
    <row r="106" s="13" customFormat="1" customHeight="1" spans="1:24">
      <c r="A106" s="3" t="s">
        <v>340</v>
      </c>
      <c r="B106" s="4">
        <v>8709637.43</v>
      </c>
      <c r="C106" s="4"/>
      <c r="D106" s="4">
        <v>0.1</v>
      </c>
      <c r="E106" s="4"/>
      <c r="F106" s="4"/>
      <c r="G106" s="4"/>
      <c r="H106" s="4">
        <v>8029414</v>
      </c>
      <c r="I106" s="4">
        <f>100-100*H106/B106</f>
        <v>7.81000857345677</v>
      </c>
      <c r="J106" s="4"/>
      <c r="K106" s="4">
        <v>6.8</v>
      </c>
      <c r="L106" s="7">
        <v>44463.375</v>
      </c>
      <c r="M106" s="8">
        <v>40</v>
      </c>
      <c r="N106"/>
      <c r="O106"/>
      <c r="P106"/>
      <c r="Q106"/>
      <c r="R106"/>
      <c r="S106" t="s">
        <v>341</v>
      </c>
      <c r="T106" t="str">
        <f>_xlfn.DISPIMG("ID_4EAD7450AB2C47E09A8A6BFF0FD5F2B4",1)</f>
        <v>=DISPIMG("ID_4EAD7450AB2C47E09A8A6BFF0FD5F2B4",1)</v>
      </c>
      <c r="U106" t="s">
        <v>39</v>
      </c>
      <c r="V106" s="5" t="s">
        <v>40</v>
      </c>
      <c r="W106" s="20"/>
      <c r="X106"/>
    </row>
    <row r="107" s="13" customFormat="1" customHeight="1" spans="1:24">
      <c r="A107" s="3" t="s">
        <v>342</v>
      </c>
      <c r="B107" s="4">
        <v>15396581.05</v>
      </c>
      <c r="C107" s="4"/>
      <c r="D107" s="4"/>
      <c r="E107" s="4"/>
      <c r="F107" s="4"/>
      <c r="G107" s="4"/>
      <c r="H107" s="4">
        <v>14498344.51</v>
      </c>
      <c r="I107" s="4">
        <f>100-100*H107/B107</f>
        <v>5.83400001002171</v>
      </c>
      <c r="J107" s="4"/>
      <c r="K107" s="4">
        <v>7.6</v>
      </c>
      <c r="L107" s="7">
        <v>44463.3958333333</v>
      </c>
      <c r="M107" s="8">
        <v>73</v>
      </c>
      <c r="N107"/>
      <c r="O107"/>
      <c r="P107"/>
      <c r="Q107"/>
      <c r="R107"/>
      <c r="S107" t="s">
        <v>343</v>
      </c>
      <c r="T107" s="13" t="str">
        <f>_xlfn.DISPIMG("ID_A7C8554973CD403FAE9FF1334A4E7093",1)</f>
        <v>=DISPIMG("ID_A7C8554973CD403FAE9FF1334A4E7093",1)</v>
      </c>
      <c r="U107" s="13" t="s">
        <v>26</v>
      </c>
      <c r="V107" s="87" t="s">
        <v>59</v>
      </c>
      <c r="W107" s="20" t="s">
        <v>344</v>
      </c>
      <c r="X107"/>
    </row>
    <row r="108" s="13" customFormat="1" customHeight="1" spans="1:24">
      <c r="A108" s="3" t="s">
        <v>345</v>
      </c>
      <c r="B108" s="4">
        <v>5947688.56</v>
      </c>
      <c r="C108" s="4"/>
      <c r="D108" s="4">
        <v>0.1</v>
      </c>
      <c r="E108" s="4"/>
      <c r="F108" s="4"/>
      <c r="G108" s="4"/>
      <c r="H108" s="4">
        <v>5505180</v>
      </c>
      <c r="I108" s="4">
        <f>100-100*H108/B108</f>
        <v>7.44000893012461</v>
      </c>
      <c r="J108" s="4"/>
      <c r="K108" s="4">
        <v>7.3</v>
      </c>
      <c r="L108" s="7">
        <v>44463.3958333333</v>
      </c>
      <c r="M108" s="8">
        <v>28</v>
      </c>
      <c r="N108"/>
      <c r="O108"/>
      <c r="P108"/>
      <c r="Q108"/>
      <c r="R108"/>
      <c r="S108" t="s">
        <v>346</v>
      </c>
      <c r="T108" t="str">
        <f>_xlfn.DISPIMG("ID_7E30A0C72CA24E35A1D573081A7F242E",1)</f>
        <v>=DISPIMG("ID_7E30A0C72CA24E35A1D573081A7F242E",1)</v>
      </c>
      <c r="U108" t="s">
        <v>189</v>
      </c>
      <c r="V108" s="5" t="s">
        <v>40</v>
      </c>
      <c r="W108" s="20"/>
      <c r="X108"/>
    </row>
    <row r="109" s="13" customFormat="1" customHeight="1" spans="1:24">
      <c r="A109" s="3" t="s">
        <v>347</v>
      </c>
      <c r="B109" s="4">
        <v>5639101.17</v>
      </c>
      <c r="C109" s="4"/>
      <c r="D109" s="4">
        <v>0.3</v>
      </c>
      <c r="E109" s="4"/>
      <c r="F109" s="4"/>
      <c r="G109" s="4"/>
      <c r="H109" s="4">
        <v>5285247.58</v>
      </c>
      <c r="I109" s="4">
        <f>100-100*H109/B109</f>
        <v>6.27499985072976</v>
      </c>
      <c r="J109" s="4"/>
      <c r="K109" s="4">
        <v>6.8</v>
      </c>
      <c r="L109" s="7">
        <v>44463.4583333333</v>
      </c>
      <c r="M109" s="8">
        <v>29</v>
      </c>
      <c r="N109"/>
      <c r="O109"/>
      <c r="P109"/>
      <c r="Q109"/>
      <c r="R109"/>
      <c r="S109" t="s">
        <v>348</v>
      </c>
      <c r="T109" t="str">
        <f>_xlfn.DISPIMG("ID_7E30A0C72CA24E35A1D573081A7F242E",1)</f>
        <v>=DISPIMG("ID_7E30A0C72CA24E35A1D573081A7F242E",1)</v>
      </c>
      <c r="U109" t="s">
        <v>189</v>
      </c>
      <c r="V109" s="5" t="s">
        <v>40</v>
      </c>
      <c r="W109" s="20"/>
      <c r="X109"/>
    </row>
    <row r="110" s="13" customFormat="1" customHeight="1" spans="1:24">
      <c r="A110" s="3" t="s">
        <v>349</v>
      </c>
      <c r="B110" s="4">
        <v>5046893.65</v>
      </c>
      <c r="C110" s="4"/>
      <c r="D110" s="4">
        <v>0.2</v>
      </c>
      <c r="E110" s="4"/>
      <c r="F110" s="4"/>
      <c r="G110" s="4"/>
      <c r="H110" s="4">
        <v>4751145.68</v>
      </c>
      <c r="I110" s="4">
        <f>100-100*H110/B110</f>
        <v>5.86000004180791</v>
      </c>
      <c r="J110" s="4"/>
      <c r="K110" s="4">
        <v>6.3</v>
      </c>
      <c r="L110" s="7">
        <v>44466.375</v>
      </c>
      <c r="M110" s="8">
        <v>47</v>
      </c>
      <c r="N110"/>
      <c r="O110"/>
      <c r="P110"/>
      <c r="Q110"/>
      <c r="R110"/>
      <c r="S110" t="s">
        <v>350</v>
      </c>
      <c r="T110" t="str">
        <f>_xlfn.DISPIMG("ID_7E30A0C72CA24E35A1D573081A7F242E",1)</f>
        <v>=DISPIMG("ID_7E30A0C72CA24E35A1D573081A7F242E",1)</v>
      </c>
      <c r="U110" t="s">
        <v>189</v>
      </c>
      <c r="V110" s="5" t="s">
        <v>40</v>
      </c>
      <c r="W110" s="20"/>
      <c r="X110"/>
    </row>
    <row r="111" s="13" customFormat="1" customHeight="1" spans="1:24">
      <c r="A111" s="3" t="s">
        <v>351</v>
      </c>
      <c r="B111" s="4">
        <v>9117016.43</v>
      </c>
      <c r="C111" s="4"/>
      <c r="D111" s="4">
        <v>0.1</v>
      </c>
      <c r="E111" s="4"/>
      <c r="F111" s="4"/>
      <c r="G111" s="4"/>
      <c r="H111" s="4">
        <v>8615580.53</v>
      </c>
      <c r="I111" s="4">
        <f>100-100*H111/B111</f>
        <v>5.49999995996498</v>
      </c>
      <c r="J111" s="4"/>
      <c r="K111" s="4">
        <v>5.8</v>
      </c>
      <c r="L111" s="7">
        <v>44466.3958333333</v>
      </c>
      <c r="M111" s="8">
        <v>82</v>
      </c>
      <c r="N111"/>
      <c r="O111"/>
      <c r="P111"/>
      <c r="Q111"/>
      <c r="R111"/>
      <c r="S111" t="s">
        <v>352</v>
      </c>
      <c r="T111" t="str">
        <f>_xlfn.DISPIMG("ID_7E30A0C72CA24E35A1D573081A7F242E",1)</f>
        <v>=DISPIMG("ID_7E30A0C72CA24E35A1D573081A7F242E",1)</v>
      </c>
      <c r="U111" t="s">
        <v>189</v>
      </c>
      <c r="V111" s="5" t="s">
        <v>40</v>
      </c>
      <c r="W111" s="20"/>
      <c r="X111"/>
    </row>
    <row r="112" customFormat="1" customHeight="1" spans="1:23">
      <c r="A112" s="3" t="s">
        <v>353</v>
      </c>
      <c r="B112" s="4">
        <v>7555469.05</v>
      </c>
      <c r="C112" s="4"/>
      <c r="D112" s="4">
        <v>0.2</v>
      </c>
      <c r="E112" s="4"/>
      <c r="F112" s="4"/>
      <c r="G112" s="4"/>
      <c r="H112" s="4">
        <v>7131591.36</v>
      </c>
      <c r="I112" s="4">
        <f>100-100*H112/B112</f>
        <v>5.61021012983966</v>
      </c>
      <c r="J112" s="4"/>
      <c r="K112" s="4">
        <v>8.6</v>
      </c>
      <c r="L112" s="7">
        <v>44466.4166666667</v>
      </c>
      <c r="M112" s="8">
        <v>80</v>
      </c>
      <c r="S112" t="s">
        <v>354</v>
      </c>
      <c r="T112" t="str">
        <f>_xlfn.DISPIMG("ID_7E30A0C72CA24E35A1D573081A7F242E",1)</f>
        <v>=DISPIMG("ID_7E30A0C72CA24E35A1D573081A7F242E",1)</v>
      </c>
      <c r="U112" t="s">
        <v>189</v>
      </c>
      <c r="V112" s="5" t="s">
        <v>40</v>
      </c>
      <c r="W112" s="20"/>
    </row>
    <row r="113" s="13" customFormat="1" customHeight="1" spans="1:24">
      <c r="A113" s="3" t="s">
        <v>355</v>
      </c>
      <c r="B113" s="4">
        <v>8731915.02</v>
      </c>
      <c r="C113" s="4"/>
      <c r="D113" s="4">
        <v>0.2</v>
      </c>
      <c r="E113" s="4"/>
      <c r="F113" s="4"/>
      <c r="G113" s="4"/>
      <c r="H113" s="4">
        <v>8221010.67</v>
      </c>
      <c r="I113" s="4">
        <f>100-100*H113/B113</f>
        <v>5.8510000249636</v>
      </c>
      <c r="J113" s="4"/>
      <c r="K113" s="4">
        <v>9.3</v>
      </c>
      <c r="L113" s="7">
        <v>44467.375</v>
      </c>
      <c r="M113" s="8">
        <v>56</v>
      </c>
      <c r="N113"/>
      <c r="O113"/>
      <c r="P113"/>
      <c r="Q113"/>
      <c r="R113"/>
      <c r="S113" t="s">
        <v>356</v>
      </c>
      <c r="T113" t="str">
        <f>_xlfn.DISPIMG("ID_7E30A0C72CA24E35A1D573081A7F242E",1)</f>
        <v>=DISPIMG("ID_7E30A0C72CA24E35A1D573081A7F242E",1)</v>
      </c>
      <c r="U113" t="s">
        <v>189</v>
      </c>
      <c r="V113" s="5" t="s">
        <v>40</v>
      </c>
      <c r="W113" s="20"/>
      <c r="X113"/>
    </row>
    <row r="114" s="13" customFormat="1" customHeight="1" spans="1:24">
      <c r="A114" s="3" t="s">
        <v>357</v>
      </c>
      <c r="B114" s="4">
        <v>4934331.63</v>
      </c>
      <c r="C114" s="4"/>
      <c r="D114" s="4">
        <v>0.2</v>
      </c>
      <c r="E114" s="4"/>
      <c r="F114" s="4"/>
      <c r="G114" s="4"/>
      <c r="H114" s="4">
        <v>4646166.66</v>
      </c>
      <c r="I114" s="4">
        <f>100-100*H114/B114</f>
        <v>5.8400000569074</v>
      </c>
      <c r="J114" s="4"/>
      <c r="K114" s="4">
        <v>5.7</v>
      </c>
      <c r="L114" s="7">
        <v>44467.375</v>
      </c>
      <c r="M114" s="8">
        <v>40</v>
      </c>
      <c r="N114"/>
      <c r="O114"/>
      <c r="P114"/>
      <c r="Q114"/>
      <c r="R114"/>
      <c r="S114" t="s">
        <v>358</v>
      </c>
      <c r="T114" t="str">
        <f>_xlfn.DISPIMG("ID_7E30A0C72CA24E35A1D573081A7F242E",1)</f>
        <v>=DISPIMG("ID_7E30A0C72CA24E35A1D573081A7F242E",1)</v>
      </c>
      <c r="U114" t="s">
        <v>189</v>
      </c>
      <c r="V114" s="5" t="s">
        <v>40</v>
      </c>
      <c r="W114" s="20"/>
      <c r="X114"/>
    </row>
    <row r="115" s="13" customFormat="1" customHeight="1" spans="1:24">
      <c r="A115" s="3" t="s">
        <v>359</v>
      </c>
      <c r="B115" s="4">
        <v>11080865.29</v>
      </c>
      <c r="C115" s="4"/>
      <c r="D115" s="4">
        <v>0.2</v>
      </c>
      <c r="E115" s="4"/>
      <c r="F115" s="4"/>
      <c r="G115" s="4"/>
      <c r="H115" s="4">
        <v>10464990.33</v>
      </c>
      <c r="I115" s="4">
        <f>100-100*H115/B115</f>
        <v>5.55800421611298</v>
      </c>
      <c r="J115" s="4"/>
      <c r="K115" s="4">
        <v>6.6</v>
      </c>
      <c r="L115" s="7">
        <v>44467.3958333333</v>
      </c>
      <c r="M115" s="8">
        <v>60</v>
      </c>
      <c r="N115"/>
      <c r="O115"/>
      <c r="P115"/>
      <c r="Q115"/>
      <c r="R115"/>
      <c r="S115" t="s">
        <v>360</v>
      </c>
      <c r="T115" t="str">
        <f>_xlfn.DISPIMG("ID_7E30A0C72CA24E35A1D573081A7F242E",1)</f>
        <v>=DISPIMG("ID_7E30A0C72CA24E35A1D573081A7F242E",1)</v>
      </c>
      <c r="U115" t="s">
        <v>189</v>
      </c>
      <c r="V115" s="5" t="s">
        <v>40</v>
      </c>
      <c r="W115" s="20"/>
      <c r="X115"/>
    </row>
    <row r="116" s="13" customFormat="1" customHeight="1" spans="1:24">
      <c r="A116" s="3" t="s">
        <v>361</v>
      </c>
      <c r="B116" s="4">
        <v>5625139.52</v>
      </c>
      <c r="C116" s="4"/>
      <c r="D116" s="4">
        <v>0.1</v>
      </c>
      <c r="E116" s="4"/>
      <c r="F116" s="4"/>
      <c r="G116" s="4"/>
      <c r="H116" s="4">
        <v>5271880.76</v>
      </c>
      <c r="I116" s="4">
        <f>100-100*H116/B116</f>
        <v>6.27999996700525</v>
      </c>
      <c r="J116" s="4"/>
      <c r="K116" s="4">
        <v>5.76</v>
      </c>
      <c r="L116" s="7">
        <v>44467.4166666667</v>
      </c>
      <c r="M116" s="8">
        <v>56</v>
      </c>
      <c r="N116"/>
      <c r="O116"/>
      <c r="P116"/>
      <c r="Q116"/>
      <c r="R116"/>
      <c r="S116" t="s">
        <v>362</v>
      </c>
      <c r="T116" t="str">
        <f>_xlfn.DISPIMG("ID_7E30A0C72CA24E35A1D573081A7F242E",1)</f>
        <v>=DISPIMG("ID_7E30A0C72CA24E35A1D573081A7F242E",1)</v>
      </c>
      <c r="U116" t="s">
        <v>189</v>
      </c>
      <c r="V116" s="5" t="s">
        <v>40</v>
      </c>
      <c r="W116" s="20"/>
      <c r="X116"/>
    </row>
    <row r="117" s="13" customFormat="1" customHeight="1" spans="1:24">
      <c r="A117" s="3" t="s">
        <v>363</v>
      </c>
      <c r="B117" s="4">
        <v>8271311.6</v>
      </c>
      <c r="C117" s="4"/>
      <c r="D117" s="4">
        <v>0.1</v>
      </c>
      <c r="E117" s="4"/>
      <c r="F117" s="4"/>
      <c r="G117" s="4"/>
      <c r="H117" s="4">
        <v>7474784.29</v>
      </c>
      <c r="I117" s="4">
        <f>100-100*H117/B117</f>
        <v>9.63000003530274</v>
      </c>
      <c r="J117" s="4"/>
      <c r="K117" s="4">
        <v>8.2</v>
      </c>
      <c r="L117" s="7">
        <v>44468.375</v>
      </c>
      <c r="M117" s="8">
        <v>96</v>
      </c>
      <c r="N117"/>
      <c r="O117"/>
      <c r="P117"/>
      <c r="Q117"/>
      <c r="R117"/>
      <c r="S117" t="s">
        <v>364</v>
      </c>
      <c r="T117" t="str">
        <f>_xlfn.DISPIMG("ID_7E30A0C72CA24E35A1D573081A7F242E",1)</f>
        <v>=DISPIMG("ID_7E30A0C72CA24E35A1D573081A7F242E",1)</v>
      </c>
      <c r="U117" t="s">
        <v>189</v>
      </c>
      <c r="V117" s="5" t="s">
        <v>40</v>
      </c>
      <c r="W117" s="20"/>
      <c r="X117"/>
    </row>
    <row r="118" s="13" customFormat="1" customHeight="1" spans="1:24">
      <c r="A118" s="3" t="s">
        <v>365</v>
      </c>
      <c r="B118" s="4">
        <v>4323450.85</v>
      </c>
      <c r="C118" s="4"/>
      <c r="D118" s="4">
        <v>0.1</v>
      </c>
      <c r="E118" s="4"/>
      <c r="F118" s="4"/>
      <c r="G118" s="4"/>
      <c r="H118" s="4">
        <v>3951201.73</v>
      </c>
      <c r="I118" s="4">
        <f>100-100*H118/B118</f>
        <v>8.61000004198034</v>
      </c>
      <c r="J118" s="4"/>
      <c r="K118" s="4">
        <v>7.83</v>
      </c>
      <c r="L118" s="7">
        <v>44468.375</v>
      </c>
      <c r="M118" s="8">
        <v>86</v>
      </c>
      <c r="N118"/>
      <c r="O118"/>
      <c r="P118"/>
      <c r="Q118"/>
      <c r="R118"/>
      <c r="S118" t="s">
        <v>366</v>
      </c>
      <c r="T118" t="str">
        <f>_xlfn.DISPIMG("ID_7E30A0C72CA24E35A1D573081A7F242E",1)</f>
        <v>=DISPIMG("ID_7E30A0C72CA24E35A1D573081A7F242E",1)</v>
      </c>
      <c r="U118" t="s">
        <v>189</v>
      </c>
      <c r="V118" s="5" t="s">
        <v>40</v>
      </c>
      <c r="W118" s="20"/>
      <c r="X118"/>
    </row>
    <row r="119" s="13" customFormat="1" customHeight="1" spans="1:24">
      <c r="A119" s="3" t="s">
        <v>367</v>
      </c>
      <c r="B119" s="4">
        <v>4604291.62</v>
      </c>
      <c r="C119" s="4"/>
      <c r="D119" s="4">
        <v>98.8</v>
      </c>
      <c r="E119" s="4"/>
      <c r="F119" s="4"/>
      <c r="G119" s="4"/>
      <c r="H119" s="4">
        <v>4223376.51</v>
      </c>
      <c r="I119" s="4">
        <f>100-100*H119/B119</f>
        <v>8.2730448337675</v>
      </c>
      <c r="J119" s="4"/>
      <c r="K119" s="4">
        <v>6.2</v>
      </c>
      <c r="L119" s="7">
        <v>44468.3958333333</v>
      </c>
      <c r="M119" s="8">
        <v>373</v>
      </c>
      <c r="N119"/>
      <c r="O119"/>
      <c r="P119"/>
      <c r="Q119"/>
      <c r="R119"/>
      <c r="S119" t="s">
        <v>368</v>
      </c>
      <c r="T119" t="str">
        <f>_xlfn.DISPIMG("ID_B45AC5B0931F41358AA01BD5585B5788",1)</f>
        <v>=DISPIMG("ID_B45AC5B0931F41358AA01BD5585B5788",1)</v>
      </c>
      <c r="U119" t="s">
        <v>119</v>
      </c>
      <c r="V119" s="82" t="s">
        <v>120</v>
      </c>
      <c r="W119" s="20" t="s">
        <v>369</v>
      </c>
      <c r="X119"/>
    </row>
    <row r="120" s="13" customFormat="1" customHeight="1" spans="1:24">
      <c r="A120" s="3" t="s">
        <v>370</v>
      </c>
      <c r="B120" s="4">
        <v>4214252.6</v>
      </c>
      <c r="C120" s="4"/>
      <c r="D120" s="4">
        <v>98</v>
      </c>
      <c r="E120" s="4">
        <v>13</v>
      </c>
      <c r="F120" s="4">
        <f>H120/B120/(D120*0.01)</f>
        <v>0.904765305434308</v>
      </c>
      <c r="G120" s="4">
        <f>100-100*F120</f>
        <v>9.52346945656919</v>
      </c>
      <c r="H120" s="4">
        <v>3736651.35</v>
      </c>
      <c r="I120" s="4">
        <f>100-100*H120/B120</f>
        <v>11.3330000674378</v>
      </c>
      <c r="J120" s="4"/>
      <c r="K120" s="4">
        <v>6.7</v>
      </c>
      <c r="L120" s="7">
        <v>44478.375</v>
      </c>
      <c r="M120" s="8">
        <v>47</v>
      </c>
      <c r="N120"/>
      <c r="O120"/>
      <c r="P120"/>
      <c r="Q120"/>
      <c r="R120"/>
      <c r="S120" t="s">
        <v>371</v>
      </c>
      <c r="T120" s="13" t="str">
        <f>_xlfn.DISPIMG("ID_A7C8554973CD403FAE9FF1334A4E7093",1)</f>
        <v>=DISPIMG("ID_A7C8554973CD403FAE9FF1334A4E7093",1)</v>
      </c>
      <c r="U120" s="13" t="s">
        <v>26</v>
      </c>
      <c r="V120" s="86" t="s">
        <v>372</v>
      </c>
      <c r="W120" s="20" t="s">
        <v>373</v>
      </c>
      <c r="X120"/>
    </row>
    <row r="121" s="13" customFormat="1" customHeight="1" spans="1:24">
      <c r="A121" s="3" t="s">
        <v>374</v>
      </c>
      <c r="B121" s="4">
        <v>4631248.71</v>
      </c>
      <c r="C121" s="4"/>
      <c r="D121" s="4">
        <v>101.6</v>
      </c>
      <c r="E121" s="4">
        <v>18</v>
      </c>
      <c r="F121" s="4">
        <f>H121/B121/(D121*0.01)</f>
        <v>0.906702755025853</v>
      </c>
      <c r="G121" s="4">
        <f>100-100*F121</f>
        <v>9.32972449741467</v>
      </c>
      <c r="H121" s="4">
        <v>4266352.62</v>
      </c>
      <c r="I121" s="4">
        <f>100-100*H121/B121</f>
        <v>7.87900008937331</v>
      </c>
      <c r="J121" s="4"/>
      <c r="K121" s="4">
        <v>9.6</v>
      </c>
      <c r="L121" s="7">
        <v>44478.3958333333</v>
      </c>
      <c r="M121" s="8">
        <v>78</v>
      </c>
      <c r="N121"/>
      <c r="O121"/>
      <c r="P121"/>
      <c r="Q121"/>
      <c r="R121"/>
      <c r="S121" s="35" t="s">
        <v>375</v>
      </c>
      <c r="T121" s="13" t="str">
        <f>_xlfn.DISPIMG("ID_A7C8554973CD403FAE9FF1334A4E7093",1)</f>
        <v>=DISPIMG("ID_A7C8554973CD403FAE9FF1334A4E7093",1)</v>
      </c>
      <c r="U121" s="13" t="s">
        <v>26</v>
      </c>
      <c r="V121" s="87" t="s">
        <v>29</v>
      </c>
      <c r="W121" s="20" t="s">
        <v>376</v>
      </c>
      <c r="X121"/>
    </row>
    <row r="122" customFormat="1" customHeight="1" spans="1:23">
      <c r="A122" s="3" t="s">
        <v>377</v>
      </c>
      <c r="B122" s="4">
        <v>4332160.12</v>
      </c>
      <c r="C122" s="4"/>
      <c r="D122" s="4">
        <v>98.8</v>
      </c>
      <c r="E122" s="4">
        <v>15</v>
      </c>
      <c r="F122" s="4">
        <f>H122/B122/(D122*0.01)</f>
        <v>0.956477706299274</v>
      </c>
      <c r="G122" s="4">
        <f>100-100*F122</f>
        <v>4.35222937007265</v>
      </c>
      <c r="H122" s="4">
        <v>4093891.2</v>
      </c>
      <c r="I122" s="4">
        <f>100-100*H122/B122</f>
        <v>5.50000261763178</v>
      </c>
      <c r="J122" s="4"/>
      <c r="K122" s="4">
        <v>3.6</v>
      </c>
      <c r="L122" s="7">
        <v>44481.375</v>
      </c>
      <c r="M122" s="8">
        <v>5</v>
      </c>
      <c r="S122" t="s">
        <v>378</v>
      </c>
      <c r="T122" s="13" t="str">
        <f>_xlfn.DISPIMG("ID_A7C8554973CD403FAE9FF1334A4E7093",1)</f>
        <v>=DISPIMG("ID_A7C8554973CD403FAE9FF1334A4E7093",1)</v>
      </c>
      <c r="U122" s="13" t="s">
        <v>26</v>
      </c>
      <c r="V122" s="82" t="s">
        <v>379</v>
      </c>
      <c r="W122" s="20" t="s">
        <v>380</v>
      </c>
    </row>
    <row r="123" s="13" customFormat="1" customHeight="1" spans="1:24">
      <c r="A123" s="3" t="s">
        <v>381</v>
      </c>
      <c r="B123" s="4">
        <v>9191266.47</v>
      </c>
      <c r="C123" s="4">
        <v>7753458.14</v>
      </c>
      <c r="D123" s="4">
        <v>0.2</v>
      </c>
      <c r="E123" s="4"/>
      <c r="F123" s="4"/>
      <c r="G123" s="4"/>
      <c r="H123" s="4">
        <v>8588419.16</v>
      </c>
      <c r="I123" s="4">
        <f>100-100*H123/B123</f>
        <v>6.55891450832891</v>
      </c>
      <c r="J123" s="4"/>
      <c r="K123" s="4">
        <v>7.3</v>
      </c>
      <c r="L123" s="7">
        <v>44481.375</v>
      </c>
      <c r="M123" s="8"/>
      <c r="N123"/>
      <c r="O123"/>
      <c r="P123"/>
      <c r="Q123"/>
      <c r="R123"/>
      <c r="S123" t="s">
        <v>382</v>
      </c>
      <c r="T123" t="str">
        <f>_xlfn.DISPIMG("ID_2969D55973B641C5B49A0081ACEEAB48",1)</f>
        <v>=DISPIMG("ID_2969D55973B641C5B49A0081ACEEAB48",1)</v>
      </c>
      <c r="U123" t="s">
        <v>383</v>
      </c>
      <c r="V123" s="5" t="s">
        <v>40</v>
      </c>
      <c r="W123" s="20" t="s">
        <v>384</v>
      </c>
      <c r="X123"/>
    </row>
    <row r="124" s="13" customFormat="1" customHeight="1" spans="1:24">
      <c r="A124" s="3" t="s">
        <v>385</v>
      </c>
      <c r="B124" s="4">
        <v>8280497.53</v>
      </c>
      <c r="C124" s="4">
        <v>6918817.61</v>
      </c>
      <c r="D124" s="4">
        <v>0.2</v>
      </c>
      <c r="E124" s="4"/>
      <c r="F124" s="4"/>
      <c r="G124" s="4"/>
      <c r="H124" s="4">
        <v>7671280</v>
      </c>
      <c r="I124" s="4">
        <f>100-100*H124/B124</f>
        <v>7.35725755358085</v>
      </c>
      <c r="J124" s="4"/>
      <c r="K124" s="4">
        <v>6.8</v>
      </c>
      <c r="L124" s="7">
        <v>44481.375</v>
      </c>
      <c r="M124" s="8"/>
      <c r="N124"/>
      <c r="O124"/>
      <c r="P124"/>
      <c r="Q124"/>
      <c r="R124"/>
      <c r="S124" s="122" t="s">
        <v>386</v>
      </c>
      <c r="T124" t="str">
        <f>_xlfn.DISPIMG("ID_2969D55973B641C5B49A0081ACEEAB48",1)</f>
        <v>=DISPIMG("ID_2969D55973B641C5B49A0081ACEEAB48",1)</v>
      </c>
      <c r="U124" t="s">
        <v>383</v>
      </c>
      <c r="V124" s="5" t="s">
        <v>40</v>
      </c>
      <c r="W124" s="20" t="s">
        <v>384</v>
      </c>
      <c r="X124"/>
    </row>
    <row r="125" customFormat="1" customHeight="1" spans="1:23">
      <c r="A125" s="3" t="s">
        <v>387</v>
      </c>
      <c r="B125" s="4">
        <v>8474700.67</v>
      </c>
      <c r="C125" s="4">
        <v>7160789.28</v>
      </c>
      <c r="D125" s="4">
        <v>0.3</v>
      </c>
      <c r="E125" s="4"/>
      <c r="F125" s="4"/>
      <c r="G125" s="4"/>
      <c r="H125" s="4">
        <v>7930194.06</v>
      </c>
      <c r="I125" s="4">
        <f>100-100*H125/B125</f>
        <v>6.4250836838111</v>
      </c>
      <c r="J125" s="4"/>
      <c r="K125" s="4">
        <v>6.9</v>
      </c>
      <c r="L125" s="7">
        <v>44481.375</v>
      </c>
      <c r="M125" s="8"/>
      <c r="N125"/>
      <c r="O125"/>
      <c r="P125"/>
      <c r="Q125"/>
      <c r="R125"/>
      <c r="S125" t="s">
        <v>388</v>
      </c>
      <c r="T125" t="str">
        <f>_xlfn.DISPIMG("ID_2969D55973B641C5B49A0081ACEEAB48",1)</f>
        <v>=DISPIMG("ID_2969D55973B641C5B49A0081ACEEAB48",1)</v>
      </c>
      <c r="U125" t="s">
        <v>383</v>
      </c>
      <c r="V125" s="5" t="s">
        <v>40</v>
      </c>
      <c r="W125" s="20" t="s">
        <v>384</v>
      </c>
    </row>
    <row r="126" customHeight="1" spans="1:24">
      <c r="A126" s="3" t="s">
        <v>389</v>
      </c>
      <c r="B126" s="4">
        <v>9111493.01</v>
      </c>
      <c r="C126" s="4">
        <v>7670882.12</v>
      </c>
      <c r="D126" s="4">
        <v>0.1</v>
      </c>
      <c r="E126" s="4"/>
      <c r="F126" s="4"/>
      <c r="G126" s="4"/>
      <c r="H126" s="4">
        <v>8491372.25</v>
      </c>
      <c r="I126" s="4">
        <f>100-100*H126/B126</f>
        <v>6.80591818837382</v>
      </c>
      <c r="K126" s="4">
        <v>6.8</v>
      </c>
      <c r="L126" s="7">
        <v>44481.375</v>
      </c>
      <c r="M126" s="8"/>
      <c r="N126"/>
      <c r="O126"/>
      <c r="P126"/>
      <c r="Q126"/>
      <c r="R126"/>
      <c r="S126" t="s">
        <v>390</v>
      </c>
      <c r="T126" t="str">
        <f>_xlfn.DISPIMG("ID_2969D55973B641C5B49A0081ACEEAB48",1)</f>
        <v>=DISPIMG("ID_2969D55973B641C5B49A0081ACEEAB48",1)</v>
      </c>
      <c r="U126" t="s">
        <v>383</v>
      </c>
      <c r="V126" s="5" t="s">
        <v>40</v>
      </c>
      <c r="W126" s="20" t="s">
        <v>384</v>
      </c>
      <c r="X126"/>
    </row>
    <row r="127" customHeight="1" spans="1:24">
      <c r="A127" s="3" t="s">
        <v>391</v>
      </c>
      <c r="B127" s="4">
        <v>7327512.88</v>
      </c>
      <c r="D127" s="4">
        <v>0.15</v>
      </c>
      <c r="E127" s="4"/>
      <c r="F127" s="4"/>
      <c r="G127" s="4"/>
      <c r="H127" s="4">
        <v>6651044.22</v>
      </c>
      <c r="I127" s="4">
        <f>100-100*H127/B127</f>
        <v>9.23189997859137</v>
      </c>
      <c r="K127" s="4">
        <v>11.6</v>
      </c>
      <c r="L127" s="7">
        <v>44482.375</v>
      </c>
      <c r="M127" s="8">
        <v>153</v>
      </c>
      <c r="N127"/>
      <c r="O127"/>
      <c r="P127"/>
      <c r="Q127"/>
      <c r="R127"/>
      <c r="S127" t="s">
        <v>392</v>
      </c>
      <c r="T127" t="str">
        <f>_xlfn.DISPIMG("ID_AA4ECC37B202408595BE57BD61A10198",1)</f>
        <v>=DISPIMG("ID_AA4ECC37B202408595BE57BD61A10198",1)</v>
      </c>
      <c r="U127" t="s">
        <v>393</v>
      </c>
      <c r="V127" s="87" t="s">
        <v>29</v>
      </c>
      <c r="W127" s="20" t="s">
        <v>394</v>
      </c>
      <c r="X127"/>
    </row>
    <row r="128" customHeight="1" spans="1:24">
      <c r="A128" s="3" t="s">
        <v>395</v>
      </c>
      <c r="B128" s="4">
        <v>8796503.32</v>
      </c>
      <c r="D128" s="4">
        <v>98.5</v>
      </c>
      <c r="H128" s="4">
        <v>7652957.89</v>
      </c>
      <c r="I128" s="4">
        <f>100-100*H128/B128</f>
        <v>12.999999981811</v>
      </c>
      <c r="K128" s="4">
        <v>5.8</v>
      </c>
      <c r="L128" s="7">
        <v>44483.375</v>
      </c>
      <c r="M128" s="8">
        <v>32</v>
      </c>
      <c r="N128"/>
      <c r="O128"/>
      <c r="P128"/>
      <c r="Q128"/>
      <c r="R128"/>
      <c r="S128" t="s">
        <v>396</v>
      </c>
      <c r="T128" t="str">
        <f>_xlfn.DISPIMG("ID_A5C5C48DA77F4825959FA26444F402F2",1)</f>
        <v>=DISPIMG("ID_A5C5C48DA77F4825959FA26444F402F2",1)</v>
      </c>
      <c r="U128" t="s">
        <v>162</v>
      </c>
      <c r="V128" s="87" t="s">
        <v>120</v>
      </c>
      <c r="W128" s="20"/>
      <c r="X128"/>
    </row>
    <row r="129" customHeight="1" spans="1:24">
      <c r="A129" s="3" t="s">
        <v>397</v>
      </c>
      <c r="B129" s="4">
        <v>6315262.76</v>
      </c>
      <c r="C129" s="4"/>
      <c r="D129" s="4">
        <v>99.6</v>
      </c>
      <c r="E129" s="4">
        <v>19</v>
      </c>
      <c r="F129" s="4">
        <f>H129/B129/(D129*0.01)</f>
        <v>0.936129508774581</v>
      </c>
      <c r="G129" s="4">
        <f>100-100*F129</f>
        <v>6.38704912254188</v>
      </c>
      <c r="H129" s="4">
        <v>5888256.21</v>
      </c>
      <c r="I129" s="4">
        <f>100-100*H129/B129</f>
        <v>6.76150092605172</v>
      </c>
      <c r="K129" s="4">
        <v>9.9</v>
      </c>
      <c r="L129" s="7">
        <v>44484.375</v>
      </c>
      <c r="M129" s="8">
        <v>53</v>
      </c>
      <c r="N129"/>
      <c r="O129"/>
      <c r="P129"/>
      <c r="Q129"/>
      <c r="R129"/>
      <c r="S129" t="s">
        <v>398</v>
      </c>
      <c r="T129" s="13" t="str">
        <f>_xlfn.DISPIMG("ID_A7C8554973CD403FAE9FF1334A4E7093",1)</f>
        <v>=DISPIMG("ID_A7C8554973CD403FAE9FF1334A4E7093",1)</v>
      </c>
      <c r="U129" s="13" t="s">
        <v>26</v>
      </c>
      <c r="V129" s="86" t="s">
        <v>399</v>
      </c>
      <c r="W129" s="20"/>
      <c r="X129"/>
    </row>
    <row r="130" customHeight="1" spans="1:24">
      <c r="A130" s="3" t="s">
        <v>400</v>
      </c>
      <c r="B130" s="4">
        <v>2609859</v>
      </c>
      <c r="C130" s="4"/>
      <c r="D130" s="4">
        <v>99.6</v>
      </c>
      <c r="E130" s="4"/>
      <c r="F130" s="4"/>
      <c r="G130" s="4"/>
      <c r="H130" s="4">
        <v>2512866.18</v>
      </c>
      <c r="I130" s="4">
        <f>100-100*H130/B130</f>
        <v>3.71640077107612</v>
      </c>
      <c r="K130" s="4">
        <v>8.6</v>
      </c>
      <c r="L130" s="7">
        <v>44488.375</v>
      </c>
      <c r="M130" s="8">
        <v>7</v>
      </c>
      <c r="N130"/>
      <c r="O130"/>
      <c r="P130"/>
      <c r="Q130"/>
      <c r="R130"/>
      <c r="S130" s="35" t="s">
        <v>401</v>
      </c>
      <c r="T130" t="str">
        <f>_xlfn.DISPIMG("ID_B45AC5B0931F41358AA01BD5585B5788",1)</f>
        <v>=DISPIMG("ID_B45AC5B0931F41358AA01BD5585B5788",1)</v>
      </c>
      <c r="U130" t="s">
        <v>119</v>
      </c>
      <c r="V130" s="5" t="s">
        <v>402</v>
      </c>
      <c r="W130" s="20" t="s">
        <v>403</v>
      </c>
      <c r="X130"/>
    </row>
    <row r="131" customHeight="1" spans="1:24">
      <c r="A131" s="3" t="s">
        <v>404</v>
      </c>
      <c r="B131" s="4">
        <v>4688207.44</v>
      </c>
      <c r="D131" s="4">
        <v>98.4</v>
      </c>
      <c r="E131" s="4">
        <v>11</v>
      </c>
      <c r="F131" s="4">
        <f>H131/B131/(D131*0.01)</f>
        <v>0.986554848453507</v>
      </c>
      <c r="G131" s="4">
        <f>100-100*F131</f>
        <v>1.3445151546493</v>
      </c>
      <c r="H131" s="4">
        <v>4551171</v>
      </c>
      <c r="I131" s="4">
        <f>100-100*H131/B131</f>
        <v>2.92300291217491</v>
      </c>
      <c r="K131" s="4">
        <v>11.3</v>
      </c>
      <c r="L131" s="7">
        <v>44488.375</v>
      </c>
      <c r="M131" s="8"/>
      <c r="N131"/>
      <c r="O131"/>
      <c r="P131"/>
      <c r="Q131"/>
      <c r="R131"/>
      <c r="S131" t="s">
        <v>405</v>
      </c>
      <c r="T131" s="13" t="str">
        <f>_xlfn.DISPIMG("ID_A7C8554973CD403FAE9FF1334A4E7093",1)</f>
        <v>=DISPIMG("ID_A7C8554973CD403FAE9FF1334A4E7093",1)</v>
      </c>
      <c r="U131" s="13" t="s">
        <v>26</v>
      </c>
      <c r="V131" s="86" t="s">
        <v>406</v>
      </c>
      <c r="W131" s="20" t="s">
        <v>407</v>
      </c>
      <c r="X131"/>
    </row>
    <row r="132" customHeight="1" spans="1:24">
      <c r="A132" s="3" t="s">
        <v>408</v>
      </c>
      <c r="B132" s="4">
        <v>3974138.58</v>
      </c>
      <c r="C132" s="4"/>
      <c r="D132" s="4">
        <v>98.4</v>
      </c>
      <c r="E132" s="4">
        <v>15</v>
      </c>
      <c r="F132" s="4">
        <f>H132/B132/(D132*0.01)</f>
        <v>0.954776426367299</v>
      </c>
      <c r="G132" s="4">
        <f>100-100*F132</f>
        <v>4.52235736327009</v>
      </c>
      <c r="H132" s="4">
        <v>3733703.21</v>
      </c>
      <c r="I132" s="4">
        <f>100-100*H132/B132</f>
        <v>6.04999964545776</v>
      </c>
      <c r="K132" s="4">
        <v>6.7</v>
      </c>
      <c r="L132" s="7">
        <v>44490.3958333333</v>
      </c>
      <c r="M132" s="8"/>
      <c r="N132"/>
      <c r="O132"/>
      <c r="P132"/>
      <c r="Q132"/>
      <c r="R132"/>
      <c r="S132" t="s">
        <v>409</v>
      </c>
      <c r="T132" s="13" t="str">
        <f>_xlfn.DISPIMG("ID_A7C8554973CD403FAE9FF1334A4E7093",1)</f>
        <v>=DISPIMG("ID_A7C8554973CD403FAE9FF1334A4E7093",1)</v>
      </c>
      <c r="U132" s="13" t="s">
        <v>26</v>
      </c>
      <c r="V132" s="82" t="s">
        <v>82</v>
      </c>
      <c r="W132" s="20"/>
      <c r="X132"/>
    </row>
    <row r="133" customHeight="1" spans="1:24">
      <c r="A133" s="3" t="s">
        <v>410</v>
      </c>
      <c r="B133" s="4">
        <v>8836135.71</v>
      </c>
      <c r="C133" s="4"/>
      <c r="D133" s="4">
        <v>0.2</v>
      </c>
      <c r="E133" s="4"/>
      <c r="F133" s="4"/>
      <c r="G133" s="4"/>
      <c r="H133" s="4">
        <v>8564943</v>
      </c>
      <c r="I133" s="4">
        <f>100-100*H133/B133</f>
        <v>3.06913246808882</v>
      </c>
      <c r="K133" s="4">
        <v>7.8</v>
      </c>
      <c r="L133" s="7">
        <v>44491.3958333333</v>
      </c>
      <c r="M133" s="8">
        <v>35</v>
      </c>
      <c r="N133"/>
      <c r="O133"/>
      <c r="P133"/>
      <c r="Q133"/>
      <c r="R133"/>
      <c r="S133" t="s">
        <v>411</v>
      </c>
      <c r="T133" t="str">
        <f>_xlfn.DISPIMG("ID_7E30A0C72CA24E35A1D573081A7F242E",1)</f>
        <v>=DISPIMG("ID_7E30A0C72CA24E35A1D573081A7F242E",1)</v>
      </c>
      <c r="U133" t="s">
        <v>189</v>
      </c>
      <c r="V133" s="5" t="s">
        <v>40</v>
      </c>
      <c r="W133" s="20" t="s">
        <v>412</v>
      </c>
      <c r="X133"/>
    </row>
    <row r="134" customHeight="1" spans="1:24">
      <c r="A134" s="3" t="s">
        <v>413</v>
      </c>
      <c r="B134" s="4">
        <v>2165082.87</v>
      </c>
      <c r="D134" s="4">
        <v>0.1</v>
      </c>
      <c r="E134" s="4"/>
      <c r="F134" s="4"/>
      <c r="G134" s="4"/>
      <c r="H134" s="4">
        <v>1987511.07</v>
      </c>
      <c r="I134" s="4">
        <f>100-100*H134/B134</f>
        <v>8.20161678153225</v>
      </c>
      <c r="K134" s="4">
        <v>7.3</v>
      </c>
      <c r="L134" s="7">
        <v>44509.375</v>
      </c>
      <c r="M134" s="8"/>
      <c r="N134"/>
      <c r="O134"/>
      <c r="P134"/>
      <c r="Q134"/>
      <c r="R134"/>
      <c r="S134" t="s">
        <v>414</v>
      </c>
      <c r="T134" t="str">
        <f>_xlfn.DISPIMG("ID_2E203B325B204945B1936C111C59F975",1)</f>
        <v>=DISPIMG("ID_2E203B325B204945B1936C111C59F975",1)</v>
      </c>
      <c r="U134" t="s">
        <v>218</v>
      </c>
      <c r="V134" s="5" t="s">
        <v>40</v>
      </c>
      <c r="W134" s="20" t="s">
        <v>415</v>
      </c>
      <c r="X134"/>
    </row>
    <row r="135" customHeight="1" spans="1:24">
      <c r="A135" s="3" t="s">
        <v>416</v>
      </c>
      <c r="B135" s="4">
        <v>2033973.39</v>
      </c>
      <c r="D135" s="4">
        <v>0.3</v>
      </c>
      <c r="H135" s="4">
        <v>1954546.73</v>
      </c>
      <c r="I135" s="4">
        <f>100-100*H135/B135</f>
        <v>3.90499995675951</v>
      </c>
      <c r="K135" s="4">
        <v>7.6</v>
      </c>
      <c r="L135" s="7">
        <v>44510.375</v>
      </c>
      <c r="M135" s="8"/>
      <c r="N135"/>
      <c r="O135"/>
      <c r="P135"/>
      <c r="Q135"/>
      <c r="R135"/>
      <c r="S135" t="s">
        <v>417</v>
      </c>
      <c r="T135" t="str">
        <f>_xlfn.DISPIMG("ID_2E203B325B204945B1936C111C59F975",1)</f>
        <v>=DISPIMG("ID_2E203B325B204945B1936C111C59F975",1)</v>
      </c>
      <c r="U135" t="s">
        <v>218</v>
      </c>
      <c r="V135" s="5" t="s">
        <v>40</v>
      </c>
      <c r="W135" s="20" t="s">
        <v>418</v>
      </c>
      <c r="X135"/>
    </row>
    <row r="136" customHeight="1" spans="1:24">
      <c r="A136" s="3" t="s">
        <v>419</v>
      </c>
      <c r="B136" s="4">
        <v>6935895.78</v>
      </c>
      <c r="C136" s="4"/>
      <c r="D136" s="4">
        <v>101.2</v>
      </c>
      <c r="E136" s="4">
        <v>14</v>
      </c>
      <c r="F136" s="4">
        <f>H136/B136/(D136*0.01)</f>
        <v>0.938735177723145</v>
      </c>
      <c r="G136" s="4">
        <f>100-100*F136</f>
        <v>6.12648222768553</v>
      </c>
      <c r="H136" s="4">
        <v>6589100.99</v>
      </c>
      <c r="I136" s="4">
        <f>100-100*H136/B136</f>
        <v>5.00000001441775</v>
      </c>
      <c r="K136" s="4">
        <v>9.8</v>
      </c>
      <c r="L136" s="7">
        <v>44516.375</v>
      </c>
      <c r="M136" s="8">
        <v>66</v>
      </c>
      <c r="N136"/>
      <c r="O136"/>
      <c r="P136"/>
      <c r="Q136"/>
      <c r="R136"/>
      <c r="S136" s="35" t="s">
        <v>420</v>
      </c>
      <c r="T136" s="13" t="str">
        <f>_xlfn.DISPIMG("ID_A7C8554973CD403FAE9FF1334A4E7093",1)</f>
        <v>=DISPIMG("ID_A7C8554973CD403FAE9FF1334A4E7093",1)</v>
      </c>
      <c r="U136" s="13" t="s">
        <v>26</v>
      </c>
      <c r="V136" s="82" t="s">
        <v>329</v>
      </c>
      <c r="W136" s="20" t="s">
        <v>421</v>
      </c>
      <c r="X136"/>
    </row>
    <row r="137" customHeight="1" spans="1:24">
      <c r="A137" s="3" t="s">
        <v>422</v>
      </c>
      <c r="B137" s="4">
        <v>5357091</v>
      </c>
      <c r="C137" s="4"/>
      <c r="D137" s="4">
        <v>100.4</v>
      </c>
      <c r="E137" s="4"/>
      <c r="F137" s="4"/>
      <c r="G137" s="4"/>
      <c r="H137" s="4">
        <v>4839542.43</v>
      </c>
      <c r="I137" s="4">
        <f>100-100*H137/B137</f>
        <v>9.66100015848153</v>
      </c>
      <c r="K137" s="4">
        <v>7.6</v>
      </c>
      <c r="L137" s="7">
        <v>44525.375</v>
      </c>
      <c r="M137" s="8">
        <v>373</v>
      </c>
      <c r="N137"/>
      <c r="O137"/>
      <c r="P137"/>
      <c r="Q137"/>
      <c r="R137"/>
      <c r="S137" t="s">
        <v>423</v>
      </c>
      <c r="T137" t="str">
        <f>_xlfn.DISPIMG("ID_B45AC5B0931F41358AA01BD5585B5788",1)</f>
        <v>=DISPIMG("ID_B45AC5B0931F41358AA01BD5585B5788",1)</v>
      </c>
      <c r="U137" t="s">
        <v>119</v>
      </c>
      <c r="V137" s="82" t="s">
        <v>120</v>
      </c>
      <c r="W137" s="20"/>
      <c r="X137"/>
    </row>
    <row r="138" customHeight="1" spans="1:24">
      <c r="A138" s="117" t="s">
        <v>424</v>
      </c>
      <c r="B138" s="4">
        <v>11761081.29</v>
      </c>
      <c r="D138" s="4">
        <f>AVERAGEA(O138:Q138)</f>
        <v>6.43333333333333</v>
      </c>
      <c r="E138" s="4">
        <f>R138</f>
        <v>0.1</v>
      </c>
      <c r="F138" s="4">
        <v>10784902.86</v>
      </c>
      <c r="G138" s="4"/>
      <c r="H138" s="4">
        <v>10810881.13</v>
      </c>
      <c r="I138" s="4">
        <f>100-100*H138/B138</f>
        <v>8.07919048062288</v>
      </c>
      <c r="K138" s="4">
        <v>4.865</v>
      </c>
      <c r="L138" s="7">
        <v>44526.4583333333</v>
      </c>
      <c r="M138" s="8">
        <v>70</v>
      </c>
      <c r="N138">
        <v>3</v>
      </c>
      <c r="O138">
        <v>7</v>
      </c>
      <c r="P138">
        <v>3.3</v>
      </c>
      <c r="Q138">
        <v>9</v>
      </c>
      <c r="R138">
        <v>0.1</v>
      </c>
      <c r="S138" s="35" t="s">
        <v>425</v>
      </c>
      <c r="T138" t="str">
        <f>_xlfn.DISPIMG("ID_39A08211ED6A4076AB89912F4CD96E32",1)</f>
        <v>=DISPIMG("ID_39A08211ED6A4076AB89912F4CD96E32",1)</v>
      </c>
      <c r="U138" t="s">
        <v>426</v>
      </c>
      <c r="V138" s="86" t="s">
        <v>427</v>
      </c>
      <c r="W138" s="20" t="s">
        <v>428</v>
      </c>
      <c r="X138"/>
    </row>
    <row r="139" customHeight="1" spans="1:24">
      <c r="A139" s="3" t="s">
        <v>429</v>
      </c>
      <c r="B139" s="4">
        <v>4667637.57</v>
      </c>
      <c r="C139" s="4"/>
      <c r="D139" s="4">
        <v>0.3</v>
      </c>
      <c r="E139" s="4"/>
      <c r="F139" s="4"/>
      <c r="G139" s="4"/>
      <c r="H139" s="4">
        <v>4520326.9</v>
      </c>
      <c r="I139" s="4">
        <f>100-100*H139/B139</f>
        <v>3.15600060610532</v>
      </c>
      <c r="K139" s="4">
        <v>5.23</v>
      </c>
      <c r="L139" s="7">
        <v>44532.375</v>
      </c>
      <c r="M139" s="8">
        <v>102</v>
      </c>
      <c r="N139"/>
      <c r="O139"/>
      <c r="P139"/>
      <c r="Q139"/>
      <c r="R139"/>
      <c r="S139" t="s">
        <v>430</v>
      </c>
      <c r="T139" s="13" t="str">
        <f>_xlfn.DISPIMG("ID_DA525B631F12498FBD4C0447472A2F2C",1)</f>
        <v>=DISPIMG("ID_DA525B631F12498FBD4C0447472A2F2C",1)</v>
      </c>
      <c r="U139" s="13" t="s">
        <v>225</v>
      </c>
      <c r="V139" s="82" t="s">
        <v>29</v>
      </c>
      <c r="W139" s="20" t="s">
        <v>431</v>
      </c>
      <c r="X139"/>
    </row>
    <row r="140" customHeight="1" spans="1:24">
      <c r="A140" s="3" t="s">
        <v>432</v>
      </c>
      <c r="B140" s="4">
        <v>72791674.83</v>
      </c>
      <c r="D140" s="4">
        <v>101.2</v>
      </c>
      <c r="E140" s="4">
        <v>18</v>
      </c>
      <c r="F140" s="4">
        <f>H140/B140/(D140*0.01)</f>
        <v>0.909090909042039</v>
      </c>
      <c r="G140" s="4">
        <f>100-100*F140</f>
        <v>9.09090909579606</v>
      </c>
      <c r="H140" s="4">
        <v>66968340.84</v>
      </c>
      <c r="I140" s="4">
        <f>100-100*H140/B140</f>
        <v>8.00000000494562</v>
      </c>
      <c r="K140" s="4">
        <v>6.2</v>
      </c>
      <c r="L140" s="7">
        <v>44537.375</v>
      </c>
      <c r="M140" s="8">
        <v>73</v>
      </c>
      <c r="N140"/>
      <c r="O140"/>
      <c r="P140"/>
      <c r="Q140"/>
      <c r="R140"/>
      <c r="S140" t="s">
        <v>433</v>
      </c>
      <c r="T140" s="13" t="str">
        <f>_xlfn.DISPIMG("ID_A7C8554973CD403FAE9FF1334A4E7093",1)</f>
        <v>=DISPIMG("ID_A7C8554973CD403FAE9FF1334A4E7093",1)</v>
      </c>
      <c r="U140" s="13" t="s">
        <v>26</v>
      </c>
      <c r="V140" s="82" t="s">
        <v>59</v>
      </c>
      <c r="W140" s="20" t="s">
        <v>434</v>
      </c>
      <c r="X140"/>
    </row>
    <row r="141" customHeight="1" spans="1:24">
      <c r="A141" s="118" t="s">
        <v>435</v>
      </c>
      <c r="B141" s="4">
        <v>2458336.37</v>
      </c>
      <c r="D141" s="4">
        <f>AVERAGEA(O141:Q141)</f>
        <v>8.76666666666667</v>
      </c>
      <c r="H141" s="4">
        <v>2281336.15</v>
      </c>
      <c r="I141" s="4">
        <f>100-100*H141/B141</f>
        <v>7.20000005532196</v>
      </c>
      <c r="K141" s="4">
        <v>8.785</v>
      </c>
      <c r="L141" s="7">
        <v>44537.3958333333</v>
      </c>
      <c r="M141" s="8">
        <v>3</v>
      </c>
      <c r="N141"/>
      <c r="O141">
        <v>9.1</v>
      </c>
      <c r="P141">
        <v>9.6</v>
      </c>
      <c r="Q141">
        <v>7.6</v>
      </c>
      <c r="R141"/>
      <c r="S141" t="s">
        <v>436</v>
      </c>
      <c r="T141" t="str">
        <f>_xlfn.DISPIMG("ID_DEAEB5C3F0934C78AB7B0A66184378A9",1)</f>
        <v>=DISPIMG("ID_DEAEB5C3F0934C78AB7B0A66184378A9",1)</v>
      </c>
      <c r="U141" s="120" t="s">
        <v>437</v>
      </c>
      <c r="V141" s="82" t="s">
        <v>59</v>
      </c>
      <c r="W141" s="20" t="s">
        <v>438</v>
      </c>
      <c r="X141"/>
    </row>
    <row r="142" customHeight="1" spans="1:24">
      <c r="A142" s="3" t="s">
        <v>439</v>
      </c>
      <c r="B142" s="4">
        <v>5652684.74</v>
      </c>
      <c r="D142" s="4">
        <f>AVERAGEA(O142:Q142)</f>
        <v>3.93333333333333</v>
      </c>
      <c r="H142" s="4">
        <v>5432795.4</v>
      </c>
      <c r="I142" s="4">
        <f>100-100*H142/B142</f>
        <v>3.88999829486335</v>
      </c>
      <c r="K142" s="4">
        <v>5.38</v>
      </c>
      <c r="L142" s="7">
        <v>44553.4583333333</v>
      </c>
      <c r="M142" s="8">
        <v>47</v>
      </c>
      <c r="N142">
        <v>1</v>
      </c>
      <c r="O142">
        <v>8.9</v>
      </c>
      <c r="P142">
        <v>2.4</v>
      </c>
      <c r="Q142">
        <v>0.5</v>
      </c>
      <c r="R142"/>
      <c r="S142" t="s">
        <v>440</v>
      </c>
      <c r="T142" t="str">
        <f>_xlfn.DISPIMG("ID_39A08211ED6A4076AB89912F4CD96E32",1)</f>
        <v>=DISPIMG("ID_39A08211ED6A4076AB89912F4CD96E32",1)</v>
      </c>
      <c r="U142" t="s">
        <v>426</v>
      </c>
      <c r="V142" s="86" t="s">
        <v>427</v>
      </c>
      <c r="W142" s="20" t="s">
        <v>441</v>
      </c>
      <c r="X142"/>
    </row>
    <row r="143" customHeight="1" spans="1:24">
      <c r="A143" s="3" t="s">
        <v>442</v>
      </c>
      <c r="B143" s="4">
        <v>6442351.55</v>
      </c>
      <c r="C143" s="4"/>
      <c r="D143" s="4">
        <v>0.5</v>
      </c>
      <c r="E143" s="4"/>
      <c r="F143" s="4"/>
      <c r="G143" s="4"/>
      <c r="H143" s="4">
        <v>6349130.37</v>
      </c>
      <c r="I143" s="4">
        <f>100-100*H143/B143</f>
        <v>1.44700548047553</v>
      </c>
      <c r="K143" s="4">
        <v>6.5</v>
      </c>
      <c r="L143" s="7">
        <v>44559.375</v>
      </c>
      <c r="M143" s="8">
        <v>135</v>
      </c>
      <c r="N143"/>
      <c r="O143"/>
      <c r="P143"/>
      <c r="Q143"/>
      <c r="R143"/>
      <c r="S143" t="s">
        <v>443</v>
      </c>
      <c r="T143" t="str">
        <f>_xlfn.DISPIMG("ID_CF70DF69B1DC4D25A3468EF30FEC08EF",1)</f>
        <v>=DISPIMG("ID_CF70DF69B1DC4D25A3468EF30FEC08EF",1)</v>
      </c>
      <c r="U143" s="13" t="s">
        <v>444</v>
      </c>
      <c r="V143" s="82" t="s">
        <v>29</v>
      </c>
      <c r="W143" s="20" t="s">
        <v>445</v>
      </c>
      <c r="X143"/>
    </row>
    <row r="144" customHeight="1" spans="1:24">
      <c r="A144" s="3" t="s">
        <v>446</v>
      </c>
      <c r="B144" s="4">
        <v>12483444.45</v>
      </c>
      <c r="C144" s="4"/>
      <c r="D144" s="4">
        <v>0.5</v>
      </c>
      <c r="E144" s="4"/>
      <c r="F144" s="4"/>
      <c r="G144" s="4"/>
      <c r="H144" s="4">
        <v>12316216.23</v>
      </c>
      <c r="I144" s="4">
        <f>100-100*H144/B144</f>
        <v>1.33959998516275</v>
      </c>
      <c r="K144" s="4">
        <v>6.8</v>
      </c>
      <c r="L144" s="7">
        <v>44560.375</v>
      </c>
      <c r="M144" s="8">
        <v>130</v>
      </c>
      <c r="N144"/>
      <c r="O144"/>
      <c r="P144"/>
      <c r="Q144"/>
      <c r="R144"/>
      <c r="S144" t="s">
        <v>447</v>
      </c>
      <c r="T144" t="str">
        <f>_xlfn.DISPIMG("ID_CF70DF69B1DC4D25A3468EF30FEC08EF",1)</f>
        <v>=DISPIMG("ID_CF70DF69B1DC4D25A3468EF30FEC08EF",1)</v>
      </c>
      <c r="U144" s="13" t="s">
        <v>444</v>
      </c>
      <c r="V144" s="82" t="s">
        <v>29</v>
      </c>
      <c r="W144" s="20" t="s">
        <v>448</v>
      </c>
      <c r="X144"/>
    </row>
    <row r="145" customHeight="1" spans="1:24">
      <c r="A145" s="117" t="s">
        <v>449</v>
      </c>
      <c r="B145" s="4">
        <v>3721173.07</v>
      </c>
      <c r="C145" s="4"/>
      <c r="D145" s="4">
        <v>98.5</v>
      </c>
      <c r="E145" s="4"/>
      <c r="F145" s="4"/>
      <c r="G145" s="4"/>
      <c r="H145" s="4">
        <v>3478552.59</v>
      </c>
      <c r="I145" s="4">
        <f>100-100*H145/B145</f>
        <v>6.5199998880998</v>
      </c>
      <c r="K145" s="4">
        <v>6</v>
      </c>
      <c r="L145" s="7">
        <v>44560.4166666667</v>
      </c>
      <c r="M145" s="8">
        <v>73</v>
      </c>
      <c r="N145"/>
      <c r="O145"/>
      <c r="P145"/>
      <c r="Q145"/>
      <c r="R145"/>
      <c r="S145" t="s">
        <v>450</v>
      </c>
      <c r="T145" t="str">
        <f>_xlfn.DISPIMG("ID_A5C5C48DA77F4825959FA26444F402F2",1)</f>
        <v>=DISPIMG("ID_A5C5C48DA77F4825959FA26444F402F2",1)</v>
      </c>
      <c r="U145" t="s">
        <v>162</v>
      </c>
      <c r="V145" s="86" t="s">
        <v>451</v>
      </c>
      <c r="W145" s="20" t="s">
        <v>452</v>
      </c>
      <c r="X145"/>
    </row>
    <row r="146" customHeight="1" spans="1:24">
      <c r="A146" s="117" t="s">
        <v>453</v>
      </c>
      <c r="B146" s="4">
        <v>2278638.42</v>
      </c>
      <c r="C146" s="4"/>
      <c r="D146" s="4">
        <v>99.5</v>
      </c>
      <c r="E146" s="4"/>
      <c r="F146" s="4"/>
      <c r="G146" s="4"/>
      <c r="H146" s="4">
        <v>2144654.48</v>
      </c>
      <c r="I146" s="4">
        <f>100-100*H146/B146</f>
        <v>5.88000003967281</v>
      </c>
      <c r="K146" s="4">
        <v>6.6</v>
      </c>
      <c r="L146" s="7">
        <v>44560.4166666667</v>
      </c>
      <c r="M146" s="8">
        <v>65</v>
      </c>
      <c r="N146"/>
      <c r="O146"/>
      <c r="P146"/>
      <c r="Q146"/>
      <c r="R146"/>
      <c r="S146" t="s">
        <v>454</v>
      </c>
      <c r="T146" t="str">
        <f>_xlfn.DISPIMG("ID_A5C5C48DA77F4825959FA26444F402F2",1)</f>
        <v>=DISPIMG("ID_A5C5C48DA77F4825959FA26444F402F2",1)</v>
      </c>
      <c r="U146" t="s">
        <v>162</v>
      </c>
      <c r="V146" s="86" t="s">
        <v>451</v>
      </c>
      <c r="W146" s="20" t="s">
        <v>455</v>
      </c>
      <c r="X146"/>
    </row>
    <row r="147" customHeight="1" spans="1:24">
      <c r="A147" s="3" t="s">
        <v>456</v>
      </c>
      <c r="B147" s="4">
        <v>7630545.88</v>
      </c>
      <c r="D147" s="4">
        <v>98</v>
      </c>
      <c r="H147" s="4">
        <v>6569060.64</v>
      </c>
      <c r="I147" s="4">
        <f>100-100*H147/B147</f>
        <v>13.9110000345087</v>
      </c>
      <c r="K147" s="4">
        <v>5.88</v>
      </c>
      <c r="L147" s="7">
        <v>44568.375</v>
      </c>
      <c r="M147" s="8">
        <v>50</v>
      </c>
      <c r="N147"/>
      <c r="O147"/>
      <c r="P147"/>
      <c r="Q147"/>
      <c r="R147"/>
      <c r="S147" t="s">
        <v>457</v>
      </c>
      <c r="T147" t="str">
        <f>_xlfn.DISPIMG("ID_A5C5C48DA77F4825959FA26444F402F2",1)</f>
        <v>=DISPIMG("ID_A5C5C48DA77F4825959FA26444F402F2",1)</v>
      </c>
      <c r="U147" t="s">
        <v>162</v>
      </c>
      <c r="V147" s="86" t="s">
        <v>458</v>
      </c>
      <c r="W147" s="20"/>
      <c r="X147"/>
    </row>
    <row r="148" customHeight="1" spans="1:24">
      <c r="A148" s="3" t="s">
        <v>459</v>
      </c>
      <c r="B148" s="4">
        <v>13331695.68</v>
      </c>
      <c r="C148" s="4"/>
      <c r="D148" s="4">
        <v>98</v>
      </c>
      <c r="E148" s="4">
        <v>13</v>
      </c>
      <c r="F148" s="4">
        <f>H148/B148/(D148*0.01)</f>
        <v>0.953285714425813</v>
      </c>
      <c r="G148" s="4">
        <f>100-100*F148</f>
        <v>4.67142855741868</v>
      </c>
      <c r="H148" s="4">
        <v>12454736.74</v>
      </c>
      <c r="I148" s="4">
        <f>100-100*H148/B148</f>
        <v>6.57799998627031</v>
      </c>
      <c r="K148" s="4">
        <v>7.86</v>
      </c>
      <c r="L148" s="7">
        <v>44572.375</v>
      </c>
      <c r="M148" s="8">
        <v>133</v>
      </c>
      <c r="N148"/>
      <c r="O148"/>
      <c r="P148"/>
      <c r="Q148"/>
      <c r="R148"/>
      <c r="S148" t="s">
        <v>460</v>
      </c>
      <c r="T148" s="13" t="str">
        <f>_xlfn.DISPIMG("ID_A7C8554973CD403FAE9FF1334A4E7093",1)</f>
        <v>=DISPIMG("ID_A7C8554973CD403FAE9FF1334A4E7093",1)</v>
      </c>
      <c r="U148" s="13" t="s">
        <v>26</v>
      </c>
      <c r="V148" s="82" t="s">
        <v>29</v>
      </c>
      <c r="W148" s="20" t="s">
        <v>461</v>
      </c>
      <c r="X148"/>
    </row>
    <row r="149" customHeight="1" spans="1:24">
      <c r="A149" s="3" t="s">
        <v>462</v>
      </c>
      <c r="B149" s="4">
        <v>1794421</v>
      </c>
      <c r="D149" s="4">
        <v>98</v>
      </c>
      <c r="H149" s="4">
        <v>1637769.84</v>
      </c>
      <c r="I149" s="4">
        <f>100-100*H149/B149</f>
        <v>8.7299000624714</v>
      </c>
      <c r="K149" s="4">
        <v>11.6</v>
      </c>
      <c r="L149" s="7">
        <v>44572.3958333333</v>
      </c>
      <c r="M149" s="8">
        <v>204</v>
      </c>
      <c r="N149"/>
      <c r="O149"/>
      <c r="P149"/>
      <c r="Q149"/>
      <c r="R149"/>
      <c r="S149" t="s">
        <v>463</v>
      </c>
      <c r="T149" t="str">
        <f>_xlfn.DISPIMG("ID_A5C5C48DA77F4825959FA26444F402F2",1)</f>
        <v>=DISPIMG("ID_A5C5C48DA77F4825959FA26444F402F2",1)</v>
      </c>
      <c r="U149" t="s">
        <v>162</v>
      </c>
      <c r="V149" s="87" t="s">
        <v>464</v>
      </c>
      <c r="W149" s="20"/>
      <c r="X149"/>
    </row>
    <row r="150" customHeight="1" spans="1:24">
      <c r="A150" s="3" t="s">
        <v>465</v>
      </c>
      <c r="B150" s="4">
        <v>29999565.85</v>
      </c>
      <c r="C150" s="4"/>
      <c r="D150" s="4"/>
      <c r="E150" s="4"/>
      <c r="F150" s="4"/>
      <c r="G150" s="4"/>
      <c r="H150" s="4">
        <v>27545601.36</v>
      </c>
      <c r="I150" s="4">
        <f>100-100*H150/B150</f>
        <v>8.18000001156683</v>
      </c>
      <c r="K150" s="4">
        <v>4.6</v>
      </c>
      <c r="L150" s="7">
        <v>44572.4583333333</v>
      </c>
      <c r="M150" s="8">
        <v>55</v>
      </c>
      <c r="N150" s="111">
        <v>4</v>
      </c>
      <c r="O150" s="111">
        <v>7.6</v>
      </c>
      <c r="P150" s="111">
        <v>9.5</v>
      </c>
      <c r="Q150" s="111">
        <v>7.3</v>
      </c>
      <c r="R150" s="111"/>
      <c r="S150" s="35" t="s">
        <v>466</v>
      </c>
      <c r="T150" t="str">
        <f>_xlfn.DISPIMG("ID_314B68A0415F43F985B023E0395B141C",1)</f>
        <v>=DISPIMG("ID_314B68A0415F43F985B023E0395B141C",1)</v>
      </c>
      <c r="U150" s="120" t="s">
        <v>467</v>
      </c>
      <c r="V150" s="86" t="s">
        <v>59</v>
      </c>
      <c r="W150" t="s">
        <v>468</v>
      </c>
      <c r="X150"/>
    </row>
    <row r="151" customHeight="1" spans="1:24">
      <c r="A151" s="3" t="s">
        <v>469</v>
      </c>
      <c r="B151" s="4">
        <v>3394431.86</v>
      </c>
      <c r="C151" s="4"/>
      <c r="D151" s="4">
        <v>101</v>
      </c>
      <c r="E151" s="4"/>
      <c r="F151" s="4"/>
      <c r="G151" s="4"/>
      <c r="H151" s="4">
        <v>3225049.7</v>
      </c>
      <c r="I151" s="4">
        <f>100-100*H151/B151</f>
        <v>4.99000030007967</v>
      </c>
      <c r="K151" s="4">
        <v>6.3</v>
      </c>
      <c r="L151" s="7">
        <v>44587.3958333333</v>
      </c>
      <c r="M151" s="8">
        <v>46</v>
      </c>
      <c r="N151"/>
      <c r="O151"/>
      <c r="P151"/>
      <c r="Q151"/>
      <c r="R151"/>
      <c r="S151" t="s">
        <v>470</v>
      </c>
      <c r="T151" t="str">
        <f>_xlfn.DISPIMG("ID_A5C5C48DA77F4825959FA26444F402F2",1)</f>
        <v>=DISPIMG("ID_A5C5C48DA77F4825959FA26444F402F2",1)</v>
      </c>
      <c r="U151" t="s">
        <v>162</v>
      </c>
      <c r="V151" s="86" t="s">
        <v>471</v>
      </c>
      <c r="W151" s="20"/>
      <c r="X151"/>
    </row>
    <row r="152" customHeight="1" spans="1:24">
      <c r="A152" s="3" t="s">
        <v>472</v>
      </c>
      <c r="B152" s="4">
        <v>18116587.8</v>
      </c>
      <c r="C152" s="4"/>
      <c r="D152" s="4">
        <v>102</v>
      </c>
      <c r="E152" s="4"/>
      <c r="F152" s="4"/>
      <c r="G152" s="4"/>
      <c r="H152" s="4">
        <v>17130734.58</v>
      </c>
      <c r="I152" s="4">
        <f>100-100*H152/B152</f>
        <v>5.4417157959514</v>
      </c>
      <c r="K152" s="4">
        <v>4.36</v>
      </c>
      <c r="L152" s="7">
        <v>44589.4583333333</v>
      </c>
      <c r="M152" s="8">
        <v>743</v>
      </c>
      <c r="N152"/>
      <c r="O152"/>
      <c r="P152"/>
      <c r="Q152"/>
      <c r="R152"/>
      <c r="S152" s="35" t="s">
        <v>473</v>
      </c>
      <c r="T152" t="str">
        <f>_xlfn.DISPIMG("ID_B45AC5B0931F41358AA01BD5585B5788",1)</f>
        <v>=DISPIMG("ID_B45AC5B0931F41358AA01BD5585B5788",1)</v>
      </c>
      <c r="U152" t="s">
        <v>119</v>
      </c>
      <c r="V152" s="86" t="s">
        <v>120</v>
      </c>
      <c r="W152" s="20"/>
      <c r="X152"/>
    </row>
    <row r="153" customHeight="1" spans="1:24">
      <c r="A153" s="117" t="s">
        <v>474</v>
      </c>
      <c r="B153" s="4">
        <v>9983861.92</v>
      </c>
      <c r="D153" s="4">
        <v>98</v>
      </c>
      <c r="H153" s="4">
        <v>9271100.54</v>
      </c>
      <c r="I153" s="4">
        <f>100-100*H153/B153</f>
        <v>7.13913499316506</v>
      </c>
      <c r="K153" s="4">
        <v>8.6</v>
      </c>
      <c r="L153" s="7">
        <v>44589.4583333333</v>
      </c>
      <c r="M153" s="8">
        <v>57</v>
      </c>
      <c r="N153"/>
      <c r="O153"/>
      <c r="P153"/>
      <c r="Q153"/>
      <c r="R153"/>
      <c r="S153" t="s">
        <v>475</v>
      </c>
      <c r="T153" t="str">
        <f>_xlfn.DISPIMG("ID_A5C5C48DA77F4825959FA26444F402F2",1)</f>
        <v>=DISPIMG("ID_A5C5C48DA77F4825959FA26444F402F2",1)</v>
      </c>
      <c r="U153" t="s">
        <v>162</v>
      </c>
      <c r="V153" s="86" t="s">
        <v>476</v>
      </c>
      <c r="W153" s="20"/>
      <c r="X153"/>
    </row>
    <row r="154" customHeight="1" spans="1:24">
      <c r="A154" s="3" t="s">
        <v>477</v>
      </c>
      <c r="B154" s="4">
        <v>7629907.72</v>
      </c>
      <c r="C154" s="4"/>
      <c r="D154" s="4">
        <v>0.1</v>
      </c>
      <c r="E154" s="4"/>
      <c r="F154" s="4"/>
      <c r="G154" s="4"/>
      <c r="H154" s="4">
        <v>7159881.98</v>
      </c>
      <c r="I154" s="4">
        <f>100-100*H154/B154</f>
        <v>6.16030700827402</v>
      </c>
      <c r="K154" s="4">
        <v>10.68</v>
      </c>
      <c r="L154" s="7">
        <v>44589.4791666667</v>
      </c>
      <c r="M154" s="8">
        <v>131</v>
      </c>
      <c r="N154"/>
      <c r="O154"/>
      <c r="P154"/>
      <c r="Q154"/>
      <c r="R154"/>
      <c r="S154" t="s">
        <v>478</v>
      </c>
      <c r="T154" t="str">
        <f>_xlfn.DISPIMG("ID_AB9CC0FC36584B33ABE1470B59C3303E",1)</f>
        <v>=DISPIMG("ID_AB9CC0FC36584B33ABE1470B59C3303E",1)</v>
      </c>
      <c r="U154" t="s">
        <v>383</v>
      </c>
      <c r="V154" s="5" t="s">
        <v>40</v>
      </c>
      <c r="W154" s="20" t="s">
        <v>479</v>
      </c>
      <c r="X154"/>
    </row>
    <row r="155" customHeight="1" spans="1:24">
      <c r="A155" s="3" t="s">
        <v>480</v>
      </c>
      <c r="B155" s="4">
        <v>15395171.18</v>
      </c>
      <c r="C155" s="4"/>
      <c r="D155" s="4">
        <v>101.6</v>
      </c>
      <c r="E155" s="4"/>
      <c r="F155" s="4"/>
      <c r="G155" s="4"/>
      <c r="H155" s="4">
        <v>14541262.11</v>
      </c>
      <c r="I155" s="4">
        <f>100-100*H155/B155</f>
        <v>5.54660328239365</v>
      </c>
      <c r="K155" s="4">
        <v>3.54</v>
      </c>
      <c r="L155" s="7">
        <v>44600.4375</v>
      </c>
      <c r="M155" s="8">
        <v>667</v>
      </c>
      <c r="N155"/>
      <c r="O155"/>
      <c r="P155"/>
      <c r="Q155"/>
      <c r="R155"/>
      <c r="S155" t="s">
        <v>481</v>
      </c>
      <c r="T155" t="str">
        <f>_xlfn.DISPIMG("ID_B45AC5B0931F41358AA01BD5585B5788",1)</f>
        <v>=DISPIMG("ID_B45AC5B0931F41358AA01BD5585B5788",1)</v>
      </c>
      <c r="U155" t="s">
        <v>119</v>
      </c>
      <c r="V155" s="82" t="s">
        <v>120</v>
      </c>
      <c r="W155" s="20"/>
      <c r="X155"/>
    </row>
    <row r="156" customHeight="1" spans="1:24">
      <c r="A156" s="3" t="s">
        <v>482</v>
      </c>
      <c r="B156" s="4">
        <v>5629626.7</v>
      </c>
      <c r="D156" s="4">
        <v>101.6</v>
      </c>
      <c r="H156" s="4">
        <v>5327146.85</v>
      </c>
      <c r="I156" s="4">
        <f>100-100*H156/B156</f>
        <v>5.37300013160731</v>
      </c>
      <c r="K156" s="4">
        <v>5.8</v>
      </c>
      <c r="L156" s="7">
        <v>44601.3958333333</v>
      </c>
      <c r="M156" s="8">
        <v>622</v>
      </c>
      <c r="N156"/>
      <c r="O156"/>
      <c r="P156"/>
      <c r="Q156"/>
      <c r="R156"/>
      <c r="S156" t="s">
        <v>483</v>
      </c>
      <c r="T156" t="str">
        <f>_xlfn.DISPIMG("ID_B45AC5B0931F41358AA01BD5585B5788",1)</f>
        <v>=DISPIMG("ID_B45AC5B0931F41358AA01BD5585B5788",1)</v>
      </c>
      <c r="U156" t="s">
        <v>119</v>
      </c>
      <c r="V156" s="82" t="s">
        <v>120</v>
      </c>
      <c r="W156" s="20"/>
      <c r="X156"/>
    </row>
    <row r="157" customHeight="1" spans="1:24">
      <c r="A157" s="117" t="s">
        <v>484</v>
      </c>
      <c r="B157" s="4">
        <v>9754319.88</v>
      </c>
      <c r="C157" s="4"/>
      <c r="D157" s="4">
        <v>99.5</v>
      </c>
      <c r="E157" s="4"/>
      <c r="F157" s="4"/>
      <c r="G157" s="4"/>
      <c r="H157" s="4">
        <v>8690152.86</v>
      </c>
      <c r="I157" s="4">
        <f>100-100*H157/B157</f>
        <v>10.9096998364995</v>
      </c>
      <c r="K157" s="4">
        <v>7.86</v>
      </c>
      <c r="L157" s="7">
        <v>44602.375</v>
      </c>
      <c r="M157" s="8">
        <v>110</v>
      </c>
      <c r="N157"/>
      <c r="O157"/>
      <c r="P157"/>
      <c r="Q157"/>
      <c r="R157"/>
      <c r="S157" t="s">
        <v>485</v>
      </c>
      <c r="T157" t="str">
        <f>_xlfn.DISPIMG("ID_A5C5C48DA77F4825959FA26444F402F2",1)</f>
        <v>=DISPIMG("ID_A5C5C48DA77F4825959FA26444F402F2",1)</v>
      </c>
      <c r="U157" t="s">
        <v>162</v>
      </c>
      <c r="V157" s="86" t="s">
        <v>476</v>
      </c>
      <c r="W157" s="20"/>
      <c r="X157"/>
    </row>
    <row r="158" customHeight="1" spans="1:24">
      <c r="A158" s="3" t="s">
        <v>486</v>
      </c>
      <c r="B158" s="4">
        <v>26374111.09</v>
      </c>
      <c r="D158" s="4">
        <v>102</v>
      </c>
      <c r="E158" s="4"/>
      <c r="F158" s="4"/>
      <c r="G158" s="4"/>
      <c r="H158" s="4">
        <v>25085735.61</v>
      </c>
      <c r="I158" s="4">
        <f>100-100*H158/B158</f>
        <v>4.8850005810755</v>
      </c>
      <c r="K158" s="4">
        <v>5.6</v>
      </c>
      <c r="L158" s="7">
        <v>44602.3958333333</v>
      </c>
      <c r="M158" s="8">
        <v>737</v>
      </c>
      <c r="N158"/>
      <c r="O158"/>
      <c r="P158"/>
      <c r="Q158"/>
      <c r="R158"/>
      <c r="S158" t="s">
        <v>487</v>
      </c>
      <c r="T158" t="str">
        <f>_xlfn.DISPIMG("ID_B45AC5B0931F41358AA01BD5585B5788",1)</f>
        <v>=DISPIMG("ID_B45AC5B0931F41358AA01BD5585B5788",1)</v>
      </c>
      <c r="U158" t="s">
        <v>119</v>
      </c>
      <c r="V158" s="82" t="s">
        <v>120</v>
      </c>
      <c r="W158" s="20"/>
      <c r="X158"/>
    </row>
    <row r="159" customHeight="1" spans="1:24">
      <c r="A159" s="3" t="s">
        <v>488</v>
      </c>
      <c r="B159" s="4">
        <v>5144018.19</v>
      </c>
      <c r="C159" s="4"/>
      <c r="D159" s="4">
        <v>101.6</v>
      </c>
      <c r="E159" s="4"/>
      <c r="F159" s="4"/>
      <c r="G159" s="4"/>
      <c r="H159" s="4">
        <v>4894841.95</v>
      </c>
      <c r="I159" s="4">
        <f>100-100*H159/B159</f>
        <v>4.84399997815716</v>
      </c>
      <c r="K159" s="4">
        <v>8.67</v>
      </c>
      <c r="L159" s="7">
        <v>44603.3958333333</v>
      </c>
      <c r="M159" s="8">
        <v>48</v>
      </c>
      <c r="N159"/>
      <c r="O159"/>
      <c r="P159"/>
      <c r="Q159"/>
      <c r="R159"/>
      <c r="S159" t="s">
        <v>489</v>
      </c>
      <c r="T159" t="str">
        <f>_xlfn.DISPIMG("ID_B45AC5B0931F41358AA01BD5585B5788",1)</f>
        <v>=DISPIMG("ID_B45AC5B0931F41358AA01BD5585B5788",1)</v>
      </c>
      <c r="U159" t="s">
        <v>119</v>
      </c>
      <c r="V159" s="82" t="s">
        <v>120</v>
      </c>
      <c r="W159" s="20" t="s">
        <v>490</v>
      </c>
      <c r="X159"/>
    </row>
    <row r="160" customHeight="1" spans="1:24">
      <c r="A160" s="3" t="s">
        <v>491</v>
      </c>
      <c r="B160" s="4">
        <v>4297712.67</v>
      </c>
      <c r="C160" s="4"/>
      <c r="D160" s="4">
        <v>0.1</v>
      </c>
      <c r="E160" s="4"/>
      <c r="F160" s="4"/>
      <c r="G160" s="4"/>
      <c r="H160" s="4">
        <v>3902283.4</v>
      </c>
      <c r="I160" s="4">
        <f>100-100*H160/B160</f>
        <v>9.20092384863877</v>
      </c>
      <c r="K160" s="4">
        <v>11.3</v>
      </c>
      <c r="L160" s="7">
        <v>44607.375</v>
      </c>
      <c r="M160" s="8">
        <v>155</v>
      </c>
      <c r="N160"/>
      <c r="O160"/>
      <c r="P160"/>
      <c r="Q160"/>
      <c r="R160"/>
      <c r="S160" t="s">
        <v>492</v>
      </c>
      <c r="T160" t="str">
        <f>_xlfn.DISPIMG("ID_F2746A9E2B164F388A2E739D7AABEDEA",1)</f>
        <v>=DISPIMG("ID_F2746A9E2B164F388A2E739D7AABEDEA",1)</v>
      </c>
      <c r="U160" t="s">
        <v>493</v>
      </c>
      <c r="V160" s="5" t="s">
        <v>40</v>
      </c>
      <c r="W160" s="20"/>
      <c r="X160"/>
    </row>
    <row r="161" customHeight="1" spans="1:24">
      <c r="A161" s="3" t="s">
        <v>494</v>
      </c>
      <c r="B161" s="4">
        <v>4170129.87</v>
      </c>
      <c r="D161" s="4">
        <v>0.3</v>
      </c>
      <c r="H161" s="4">
        <v>3798151.17</v>
      </c>
      <c r="I161" s="4">
        <f>100-100*H161/B161</f>
        <v>8.92007471220555</v>
      </c>
      <c r="K161" s="4">
        <v>8.68</v>
      </c>
      <c r="L161" s="7">
        <v>44607.3958333333</v>
      </c>
      <c r="M161" s="8">
        <v>127</v>
      </c>
      <c r="N161"/>
      <c r="O161"/>
      <c r="P161"/>
      <c r="Q161"/>
      <c r="R161"/>
      <c r="S161" t="s">
        <v>495</v>
      </c>
      <c r="T161" t="str">
        <f>_xlfn.DISPIMG("ID_AB9CC0FC36584B33ABE1470B59C3303E",1)</f>
        <v>=DISPIMG("ID_AB9CC0FC36584B33ABE1470B59C3303E",1)</v>
      </c>
      <c r="U161" t="s">
        <v>383</v>
      </c>
      <c r="V161" s="5" t="s">
        <v>40</v>
      </c>
      <c r="W161" s="36" t="s">
        <v>496</v>
      </c>
      <c r="X161"/>
    </row>
    <row r="162" customHeight="1" spans="1:24">
      <c r="A162" s="3" t="s">
        <v>497</v>
      </c>
      <c r="B162" s="4">
        <v>18331580.34</v>
      </c>
      <c r="C162" s="4"/>
      <c r="D162" s="4">
        <v>99.6</v>
      </c>
      <c r="E162" s="4">
        <v>18</v>
      </c>
      <c r="F162" s="4">
        <f>H162/B162/(D162*0.01)</f>
        <v>0.94839036100177</v>
      </c>
      <c r="G162" s="4">
        <f>100-100*F162</f>
        <v>5.16096389982303</v>
      </c>
      <c r="H162" s="4">
        <v>17315952.12</v>
      </c>
      <c r="I162" s="4">
        <f>100-100*H162/B162</f>
        <v>5.54032004422375</v>
      </c>
      <c r="K162" s="4">
        <v>5.9</v>
      </c>
      <c r="L162" s="7">
        <v>44608.4375</v>
      </c>
      <c r="M162" s="8">
        <v>73</v>
      </c>
      <c r="N162"/>
      <c r="O162"/>
      <c r="P162"/>
      <c r="Q162"/>
      <c r="R162"/>
      <c r="S162" t="s">
        <v>498</v>
      </c>
      <c r="T162" s="13" t="str">
        <f>_xlfn.DISPIMG("ID_A7C8554973CD403FAE9FF1334A4E7093",1)</f>
        <v>=DISPIMG("ID_A7C8554973CD403FAE9FF1334A4E7093",1)</v>
      </c>
      <c r="U162" s="13" t="s">
        <v>26</v>
      </c>
      <c r="V162" s="25" t="s">
        <v>499</v>
      </c>
      <c r="W162" s="26" t="s">
        <v>500</v>
      </c>
      <c r="X162"/>
    </row>
    <row r="163" customHeight="1" spans="1:24">
      <c r="A163" s="3" t="s">
        <v>501</v>
      </c>
      <c r="B163" s="4">
        <v>6472745.94</v>
      </c>
      <c r="C163" s="4"/>
      <c r="D163" s="4">
        <v>0.4</v>
      </c>
      <c r="E163" s="4"/>
      <c r="F163" s="4"/>
      <c r="G163" s="4"/>
      <c r="H163" s="4">
        <v>6135256.53</v>
      </c>
      <c r="I163" s="4">
        <f>100-100*H163/B163</f>
        <v>5.214006746571</v>
      </c>
      <c r="K163" s="4">
        <v>7.96</v>
      </c>
      <c r="L163" s="7">
        <v>44609.375</v>
      </c>
      <c r="M163" s="8">
        <v>257</v>
      </c>
      <c r="N163"/>
      <c r="O163"/>
      <c r="P163"/>
      <c r="Q163"/>
      <c r="R163"/>
      <c r="S163" t="s">
        <v>502</v>
      </c>
      <c r="T163" s="13" t="str">
        <f>_xlfn.DISPIMG("ID_DA525B631F12498FBD4C0447472A2F2C",1)</f>
        <v>=DISPIMG("ID_DA525B631F12498FBD4C0447472A2F2C",1)</v>
      </c>
      <c r="U163" s="13" t="s">
        <v>225</v>
      </c>
      <c r="V163" s="82" t="s">
        <v>29</v>
      </c>
      <c r="W163" s="20" t="s">
        <v>503</v>
      </c>
      <c r="X163"/>
    </row>
    <row r="164" customHeight="1" spans="1:24">
      <c r="A164" s="3" t="s">
        <v>504</v>
      </c>
      <c r="B164" s="4">
        <v>5110483.14</v>
      </c>
      <c r="C164" s="4"/>
      <c r="D164" s="4">
        <v>101.6</v>
      </c>
      <c r="E164" s="4">
        <v>12</v>
      </c>
      <c r="F164" s="4">
        <f>H164/B164/(D164*0.01)</f>
        <v>0.950462597692605</v>
      </c>
      <c r="G164" s="4">
        <f>100-100*F164</f>
        <v>4.95374023073948</v>
      </c>
      <c r="H164" s="4">
        <v>4935040.25</v>
      </c>
      <c r="I164" s="4">
        <f>100-100*H164/B164</f>
        <v>3.43300007443131</v>
      </c>
      <c r="K164" s="4">
        <v>7.6</v>
      </c>
      <c r="L164" s="7">
        <v>44615.3958333333</v>
      </c>
      <c r="M164" s="8">
        <v>90</v>
      </c>
      <c r="N164"/>
      <c r="O164"/>
      <c r="P164"/>
      <c r="Q164"/>
      <c r="R164"/>
      <c r="S164" t="s">
        <v>505</v>
      </c>
      <c r="T164" s="13" t="str">
        <f>_xlfn.DISPIMG("ID_A7C8554973CD403FAE9FF1334A4E7093",1)</f>
        <v>=DISPIMG("ID_A7C8554973CD403FAE9FF1334A4E7093",1)</v>
      </c>
      <c r="U164" s="13" t="s">
        <v>26</v>
      </c>
      <c r="V164" s="5" t="s">
        <v>506</v>
      </c>
      <c r="W164" s="5" t="s">
        <v>507</v>
      </c>
      <c r="X164"/>
    </row>
    <row r="165" customHeight="1" spans="1:24">
      <c r="A165" s="117" t="s">
        <v>508</v>
      </c>
      <c r="B165" s="4">
        <v>23142023.23</v>
      </c>
      <c r="C165" s="4"/>
      <c r="D165" s="4">
        <v>99</v>
      </c>
      <c r="E165" s="4"/>
      <c r="F165" s="4"/>
      <c r="G165" s="4"/>
      <c r="H165" s="4">
        <v>21213505.87</v>
      </c>
      <c r="I165" s="4">
        <f>100-100*H165/B165</f>
        <v>8.33339998336869</v>
      </c>
      <c r="K165" s="4">
        <v>8.6</v>
      </c>
      <c r="L165" s="7">
        <v>44616.3958333333</v>
      </c>
      <c r="M165" s="8">
        <v>108</v>
      </c>
      <c r="N165"/>
      <c r="O165"/>
      <c r="P165"/>
      <c r="Q165"/>
      <c r="R165"/>
      <c r="S165" t="s">
        <v>509</v>
      </c>
      <c r="T165" t="str">
        <f>_xlfn.DISPIMG("ID_A5C5C48DA77F4825959FA26444F402F2",1)</f>
        <v>=DISPIMG("ID_A5C5C48DA77F4825959FA26444F402F2",1)</v>
      </c>
      <c r="U165" t="s">
        <v>162</v>
      </c>
      <c r="V165" s="31" t="s">
        <v>510</v>
      </c>
      <c r="W165" s="5" t="s">
        <v>511</v>
      </c>
      <c r="X165"/>
    </row>
    <row r="166" customHeight="1" spans="1:24">
      <c r="A166" s="3" t="s">
        <v>512</v>
      </c>
      <c r="B166" s="4">
        <v>22387156.2</v>
      </c>
      <c r="C166" s="4"/>
      <c r="D166" s="4">
        <v>98.4</v>
      </c>
      <c r="E166" s="4">
        <v>12</v>
      </c>
      <c r="F166" s="4">
        <f>H166/B166/(D166*0.01)</f>
        <v>0.958252032334025</v>
      </c>
      <c r="G166" s="4">
        <f>100-100*F166</f>
        <v>4.17479676659751</v>
      </c>
      <c r="H166" s="4">
        <v>21109297.32</v>
      </c>
      <c r="I166" s="4">
        <f>100-100*H166/B166</f>
        <v>5.70800001833193</v>
      </c>
      <c r="K166" s="4">
        <v>5.6</v>
      </c>
      <c r="L166" s="7">
        <v>44616.4375</v>
      </c>
      <c r="M166" s="8">
        <v>43</v>
      </c>
      <c r="N166"/>
      <c r="O166"/>
      <c r="P166"/>
      <c r="Q166"/>
      <c r="R166"/>
      <c r="S166" t="s">
        <v>513</v>
      </c>
      <c r="T166" s="13" t="str">
        <f>_xlfn.DISPIMG("ID_A7C8554973CD403FAE9FF1334A4E7093",1)</f>
        <v>=DISPIMG("ID_A7C8554973CD403FAE9FF1334A4E7093",1)</v>
      </c>
      <c r="U166" s="13" t="s">
        <v>26</v>
      </c>
      <c r="V166" s="5" t="s">
        <v>506</v>
      </c>
      <c r="W166" s="5" t="s">
        <v>514</v>
      </c>
      <c r="X166"/>
    </row>
    <row r="167" customHeight="1" spans="1:24">
      <c r="A167" s="3" t="s">
        <v>515</v>
      </c>
      <c r="B167" s="4">
        <v>13997831.48</v>
      </c>
      <c r="D167" s="4">
        <v>0.4</v>
      </c>
      <c r="H167" s="4">
        <v>13708528.23</v>
      </c>
      <c r="I167" s="4">
        <f>100-100*H167/B167</f>
        <v>2.06677191687409</v>
      </c>
      <c r="K167" s="4">
        <v>1.8</v>
      </c>
      <c r="L167" s="7">
        <v>44624.375</v>
      </c>
      <c r="M167" s="8">
        <v>312</v>
      </c>
      <c r="N167"/>
      <c r="O167"/>
      <c r="P167"/>
      <c r="Q167"/>
      <c r="R167"/>
      <c r="S167" t="s">
        <v>516</v>
      </c>
      <c r="T167" s="13" t="str">
        <f>_xlfn.DISPIMG("ID_DA525B631F12498FBD4C0447472A2F2C",1)</f>
        <v>=DISPIMG("ID_DA525B631F12498FBD4C0447472A2F2C",1)</v>
      </c>
      <c r="U167" s="13" t="s">
        <v>225</v>
      </c>
      <c r="V167" s="5" t="s">
        <v>40</v>
      </c>
      <c r="W167" s="20" t="s">
        <v>517</v>
      </c>
      <c r="X167"/>
    </row>
    <row r="168" customHeight="1" spans="1:24">
      <c r="A168" s="3" t="s">
        <v>518</v>
      </c>
      <c r="B168" s="4">
        <v>12773874.94</v>
      </c>
      <c r="C168" s="4"/>
      <c r="D168" s="4">
        <v>0.3</v>
      </c>
      <c r="E168" s="4"/>
      <c r="F168" s="4"/>
      <c r="G168" s="4"/>
      <c r="H168" s="4">
        <v>12578197.55</v>
      </c>
      <c r="I168" s="4">
        <f>100-100*H168/B168</f>
        <v>1.53185615891117</v>
      </c>
      <c r="K168" s="4">
        <v>2</v>
      </c>
      <c r="L168" s="7">
        <v>44624.375</v>
      </c>
      <c r="M168" s="8">
        <v>312</v>
      </c>
      <c r="N168"/>
      <c r="O168"/>
      <c r="P168"/>
      <c r="Q168"/>
      <c r="R168"/>
      <c r="S168" t="s">
        <v>519</v>
      </c>
      <c r="T168" s="13" t="str">
        <f>_xlfn.DISPIMG("ID_DA525B631F12498FBD4C0447472A2F2C",1)</f>
        <v>=DISPIMG("ID_DA525B631F12498FBD4C0447472A2F2C",1)</v>
      </c>
      <c r="U168" s="13" t="s">
        <v>225</v>
      </c>
      <c r="V168" s="5" t="s">
        <v>40</v>
      </c>
      <c r="W168" s="20" t="s">
        <v>517</v>
      </c>
      <c r="X168"/>
    </row>
    <row r="169" customHeight="1" spans="1:24">
      <c r="A169" s="3" t="s">
        <v>520</v>
      </c>
      <c r="B169" s="4">
        <v>9194125.56</v>
      </c>
      <c r="D169" s="4">
        <v>0.3</v>
      </c>
      <c r="E169" s="4"/>
      <c r="H169" s="4">
        <v>9043866.51</v>
      </c>
      <c r="I169" s="4">
        <f>100-100*H169/B169</f>
        <v>1.63429408288394</v>
      </c>
      <c r="K169" s="4">
        <v>2.56</v>
      </c>
      <c r="L169" s="7">
        <v>44624.375</v>
      </c>
      <c r="M169" s="8">
        <v>310</v>
      </c>
      <c r="N169"/>
      <c r="O169"/>
      <c r="P169"/>
      <c r="Q169"/>
      <c r="R169"/>
      <c r="S169" t="s">
        <v>521</v>
      </c>
      <c r="T169" s="13" t="str">
        <f>_xlfn.DISPIMG("ID_DA525B631F12498FBD4C0447472A2F2C",1)</f>
        <v>=DISPIMG("ID_DA525B631F12498FBD4C0447472A2F2C",1)</v>
      </c>
      <c r="U169" s="13" t="s">
        <v>225</v>
      </c>
      <c r="V169" s="5" t="s">
        <v>40</v>
      </c>
      <c r="W169" s="20" t="s">
        <v>517</v>
      </c>
      <c r="X169"/>
    </row>
    <row r="170" customHeight="1" spans="1:24">
      <c r="A170" s="3" t="s">
        <v>522</v>
      </c>
      <c r="B170" s="4">
        <v>9320236.49</v>
      </c>
      <c r="D170" s="4">
        <v>0.5</v>
      </c>
      <c r="H170" s="4">
        <v>9177186.65</v>
      </c>
      <c r="I170" s="4">
        <f>100-100*H170/B170</f>
        <v>1.53483058239438</v>
      </c>
      <c r="K170" s="4">
        <v>1.8</v>
      </c>
      <c r="L170" s="7">
        <v>44624.375</v>
      </c>
      <c r="M170" s="8">
        <v>309</v>
      </c>
      <c r="N170"/>
      <c r="O170"/>
      <c r="P170"/>
      <c r="Q170"/>
      <c r="R170"/>
      <c r="S170" t="s">
        <v>523</v>
      </c>
      <c r="T170" s="13" t="str">
        <f>_xlfn.DISPIMG("ID_DA525B631F12498FBD4C0447472A2F2C",1)</f>
        <v>=DISPIMG("ID_DA525B631F12498FBD4C0447472A2F2C",1)</v>
      </c>
      <c r="U170" s="13" t="s">
        <v>225</v>
      </c>
      <c r="V170" s="5" t="s">
        <v>40</v>
      </c>
      <c r="W170" s="20" t="s">
        <v>517</v>
      </c>
      <c r="X170"/>
    </row>
    <row r="171" customHeight="1" spans="1:24">
      <c r="A171" s="3" t="s">
        <v>524</v>
      </c>
      <c r="B171" s="4">
        <v>9399165.91</v>
      </c>
      <c r="C171" s="4"/>
      <c r="D171" s="4">
        <v>0.4</v>
      </c>
      <c r="E171" s="4"/>
      <c r="F171" s="4"/>
      <c r="G171" s="4"/>
      <c r="H171" s="4">
        <v>9251794.82</v>
      </c>
      <c r="I171" s="4">
        <f>100-100*H171/B171</f>
        <v>1.56791667910882</v>
      </c>
      <c r="K171" s="4">
        <v>1.6</v>
      </c>
      <c r="L171" s="7">
        <v>44624.375</v>
      </c>
      <c r="M171" s="8">
        <v>309</v>
      </c>
      <c r="N171"/>
      <c r="O171"/>
      <c r="P171"/>
      <c r="Q171"/>
      <c r="R171"/>
      <c r="S171" t="s">
        <v>525</v>
      </c>
      <c r="T171" s="13" t="str">
        <f>_xlfn.DISPIMG("ID_DA525B631F12498FBD4C0447472A2F2C",1)</f>
        <v>=DISPIMG("ID_DA525B631F12498FBD4C0447472A2F2C",1)</v>
      </c>
      <c r="U171" s="13" t="s">
        <v>225</v>
      </c>
      <c r="V171" s="5" t="s">
        <v>40</v>
      </c>
      <c r="W171" s="20" t="s">
        <v>517</v>
      </c>
      <c r="X171"/>
    </row>
    <row r="172" customHeight="1" spans="1:24">
      <c r="A172" s="3" t="s">
        <v>526</v>
      </c>
      <c r="B172" s="4">
        <v>6582246.86</v>
      </c>
      <c r="C172" s="4"/>
      <c r="D172" s="4">
        <v>0.3</v>
      </c>
      <c r="E172" s="4"/>
      <c r="F172" s="4"/>
      <c r="G172" s="4"/>
      <c r="H172" s="4">
        <v>6192106.66</v>
      </c>
      <c r="I172" s="4">
        <f>100-100*H172/B172</f>
        <v>5.92715843537962</v>
      </c>
      <c r="K172" s="4">
        <v>5.8</v>
      </c>
      <c r="L172" s="7">
        <v>44624.375</v>
      </c>
      <c r="M172" s="8">
        <v>308</v>
      </c>
      <c r="N172"/>
      <c r="O172"/>
      <c r="P172"/>
      <c r="Q172"/>
      <c r="R172"/>
      <c r="S172" t="s">
        <v>527</v>
      </c>
      <c r="T172" s="13" t="str">
        <f>_xlfn.DISPIMG("ID_DA525B631F12498FBD4C0447472A2F2C",1)</f>
        <v>=DISPIMG("ID_DA525B631F12498FBD4C0447472A2F2C",1)</v>
      </c>
      <c r="U172" s="13" t="s">
        <v>225</v>
      </c>
      <c r="V172" s="5" t="s">
        <v>40</v>
      </c>
      <c r="W172" s="20" t="s">
        <v>517</v>
      </c>
      <c r="X172"/>
    </row>
    <row r="173" customHeight="1" spans="1:24">
      <c r="A173" s="3" t="s">
        <v>528</v>
      </c>
      <c r="B173" s="4">
        <v>9377695.57</v>
      </c>
      <c r="C173" s="4"/>
      <c r="D173" s="4">
        <v>0.3</v>
      </c>
      <c r="E173" s="4"/>
      <c r="F173" s="4"/>
      <c r="G173" s="4"/>
      <c r="H173" s="4">
        <v>9188640.42</v>
      </c>
      <c r="I173" s="4">
        <f>100-100*H173/B173</f>
        <v>2.01600860881859</v>
      </c>
      <c r="K173" s="4">
        <v>2</v>
      </c>
      <c r="L173" s="7">
        <v>44624.375</v>
      </c>
      <c r="M173" s="8">
        <v>308</v>
      </c>
      <c r="N173"/>
      <c r="O173"/>
      <c r="P173"/>
      <c r="Q173"/>
      <c r="R173"/>
      <c r="S173" t="s">
        <v>529</v>
      </c>
      <c r="T173" s="13" t="str">
        <f>_xlfn.DISPIMG("ID_DA525B631F12498FBD4C0447472A2F2C",1)</f>
        <v>=DISPIMG("ID_DA525B631F12498FBD4C0447472A2F2C",1)</v>
      </c>
      <c r="U173" s="13" t="s">
        <v>225</v>
      </c>
      <c r="V173" s="5" t="s">
        <v>40</v>
      </c>
      <c r="W173" s="20" t="s">
        <v>517</v>
      </c>
      <c r="X173"/>
    </row>
    <row r="174" customHeight="1" spans="1:24">
      <c r="A174" s="3" t="s">
        <v>530</v>
      </c>
      <c r="B174" s="4">
        <v>8601983.62</v>
      </c>
      <c r="C174" s="4"/>
      <c r="D174" s="4">
        <v>0.4</v>
      </c>
      <c r="E174" s="4"/>
      <c r="F174" s="4"/>
      <c r="G174" s="4"/>
      <c r="H174" s="4">
        <v>8383873.38</v>
      </c>
      <c r="I174" s="4">
        <f>100-100*H174/B174</f>
        <v>2.53558074085241</v>
      </c>
      <c r="K174" s="4">
        <v>2.2</v>
      </c>
      <c r="L174" s="7">
        <v>44624.375</v>
      </c>
      <c r="M174" s="8">
        <v>307</v>
      </c>
      <c r="N174"/>
      <c r="O174"/>
      <c r="P174"/>
      <c r="Q174"/>
      <c r="R174"/>
      <c r="S174" t="s">
        <v>531</v>
      </c>
      <c r="T174" s="13" t="str">
        <f>_xlfn.DISPIMG("ID_DA525B631F12498FBD4C0447472A2F2C",1)</f>
        <v>=DISPIMG("ID_DA525B631F12498FBD4C0447472A2F2C",1)</v>
      </c>
      <c r="U174" s="13" t="s">
        <v>225</v>
      </c>
      <c r="V174" s="5" t="s">
        <v>40</v>
      </c>
      <c r="W174" s="20" t="s">
        <v>517</v>
      </c>
      <c r="X174"/>
    </row>
    <row r="175" customHeight="1" spans="1:24">
      <c r="A175" s="3" t="s">
        <v>532</v>
      </c>
      <c r="B175" s="4">
        <v>10937477.5</v>
      </c>
      <c r="D175" s="4">
        <v>0.5</v>
      </c>
      <c r="E175" s="4"/>
      <c r="H175" s="4">
        <v>10750862.91</v>
      </c>
      <c r="I175" s="4">
        <f>100-100*H175/B175</f>
        <v>1.70619404702775</v>
      </c>
      <c r="K175" s="4">
        <v>7.86</v>
      </c>
      <c r="L175" s="7">
        <v>44624.375</v>
      </c>
      <c r="M175" s="8">
        <v>268</v>
      </c>
      <c r="N175"/>
      <c r="O175"/>
      <c r="P175"/>
      <c r="Q175"/>
      <c r="R175"/>
      <c r="S175" t="s">
        <v>533</v>
      </c>
      <c r="T175" s="13" t="str">
        <f>_xlfn.DISPIMG("ID_DA525B631F12498FBD4C0447472A2F2C",1)</f>
        <v>=DISPIMG("ID_DA525B631F12498FBD4C0447472A2F2C",1)</v>
      </c>
      <c r="U175" s="13" t="s">
        <v>225</v>
      </c>
      <c r="V175" s="5" t="s">
        <v>40</v>
      </c>
      <c r="W175" s="20" t="s">
        <v>517</v>
      </c>
      <c r="X175"/>
    </row>
    <row r="176" customHeight="1" spans="1:24">
      <c r="A176" s="3" t="s">
        <v>534</v>
      </c>
      <c r="B176" s="4">
        <v>13423322.28</v>
      </c>
      <c r="D176" s="4">
        <v>100.8</v>
      </c>
      <c r="E176" s="4">
        <v>12</v>
      </c>
      <c r="F176" s="4">
        <f>H176/B176/(D176*0.01)</f>
        <v>0.954930555772869</v>
      </c>
      <c r="G176" s="4">
        <f>100-100*F176</f>
        <v>4.50694442271313</v>
      </c>
      <c r="H176" s="4">
        <v>12920887.33</v>
      </c>
      <c r="I176" s="4">
        <f>100-100*H176/B176</f>
        <v>3.74299997809484</v>
      </c>
      <c r="K176" s="4">
        <v>8.3</v>
      </c>
      <c r="L176" s="7">
        <v>44629.375</v>
      </c>
      <c r="M176" s="8">
        <v>123</v>
      </c>
      <c r="N176"/>
      <c r="O176"/>
      <c r="P176"/>
      <c r="Q176"/>
      <c r="R176"/>
      <c r="S176" t="s">
        <v>535</v>
      </c>
      <c r="T176" s="13" t="str">
        <f>_xlfn.DISPIMG("ID_A7C8554973CD403FAE9FF1334A4E7093",1)</f>
        <v>=DISPIMG("ID_A7C8554973CD403FAE9FF1334A4E7093",1)</v>
      </c>
      <c r="U176" s="13" t="s">
        <v>26</v>
      </c>
      <c r="V176" s="5" t="s">
        <v>506</v>
      </c>
      <c r="W176" s="5" t="s">
        <v>536</v>
      </c>
      <c r="X176"/>
    </row>
    <row r="177" customHeight="1" spans="1:24">
      <c r="A177" s="117" t="s">
        <v>537</v>
      </c>
      <c r="B177" s="4">
        <v>12155410.02</v>
      </c>
      <c r="D177" s="4">
        <v>102</v>
      </c>
      <c r="E177" s="4"/>
      <c r="F177" s="4"/>
      <c r="G177" s="4"/>
      <c r="H177" s="4">
        <v>11165839.31</v>
      </c>
      <c r="I177" s="4">
        <f>100-100*H177/B177</f>
        <v>8.14098996555281</v>
      </c>
      <c r="K177" s="4">
        <v>5.2</v>
      </c>
      <c r="L177" s="7">
        <v>44629.3958333333</v>
      </c>
      <c r="M177" s="8">
        <v>240</v>
      </c>
      <c r="N177"/>
      <c r="O177"/>
      <c r="P177"/>
      <c r="Q177"/>
      <c r="R177"/>
      <c r="S177" t="s">
        <v>538</v>
      </c>
      <c r="T177" t="str">
        <f>_xlfn.DISPIMG("ID_A5C5C48DA77F4825959FA26444F402F2",1)</f>
        <v>=DISPIMG("ID_A5C5C48DA77F4825959FA26444F402F2",1)</v>
      </c>
      <c r="U177" t="s">
        <v>162</v>
      </c>
      <c r="V177" s="5" t="s">
        <v>539</v>
      </c>
      <c r="W177" s="31" t="s">
        <v>540</v>
      </c>
      <c r="X177"/>
    </row>
    <row r="178" customHeight="1" spans="1:24">
      <c r="A178" s="3" t="s">
        <v>541</v>
      </c>
      <c r="B178" s="4">
        <v>28364987.56</v>
      </c>
      <c r="D178" s="4">
        <v>102</v>
      </c>
      <c r="E178" s="4">
        <v>12</v>
      </c>
      <c r="F178" s="4">
        <f>H178/B178/(D178*0.01)</f>
        <v>0.958823529284571</v>
      </c>
      <c r="G178" s="4">
        <f>100-100*F178</f>
        <v>4.11764707154289</v>
      </c>
      <c r="H178" s="4">
        <v>27740957.83</v>
      </c>
      <c r="I178" s="4">
        <f>100-100*H178/B178</f>
        <v>2.20000001297373</v>
      </c>
      <c r="K178" s="4">
        <v>4.6</v>
      </c>
      <c r="L178" s="7">
        <v>44629.4166666667</v>
      </c>
      <c r="M178" s="8">
        <v>119</v>
      </c>
      <c r="N178"/>
      <c r="O178"/>
      <c r="P178"/>
      <c r="Q178"/>
      <c r="R178"/>
      <c r="S178" t="s">
        <v>542</v>
      </c>
      <c r="T178" s="13" t="str">
        <f>_xlfn.DISPIMG("ID_A7C8554973CD403FAE9FF1334A4E7093",1)</f>
        <v>=DISPIMG("ID_A7C8554973CD403FAE9FF1334A4E7093",1)</v>
      </c>
      <c r="U178" s="13" t="s">
        <v>26</v>
      </c>
      <c r="V178" s="5" t="s">
        <v>506</v>
      </c>
      <c r="W178" s="5" t="s">
        <v>543</v>
      </c>
      <c r="X178"/>
    </row>
    <row r="179" customHeight="1" spans="1:24">
      <c r="A179" s="3" t="s">
        <v>544</v>
      </c>
      <c r="B179" s="4">
        <v>41889629.22</v>
      </c>
      <c r="C179" s="4"/>
      <c r="D179" s="4">
        <f>AVERAGEA(O179:Q179)</f>
        <v>6.6</v>
      </c>
      <c r="E179" s="4">
        <f>R179</f>
        <v>0.9</v>
      </c>
      <c r="H179" s="4">
        <v>39196963.85</v>
      </c>
      <c r="I179" s="4">
        <f>100-100*H179/B179</f>
        <v>6.4280000089244</v>
      </c>
      <c r="K179" s="4">
        <v>5.4</v>
      </c>
      <c r="L179" s="7">
        <v>44631.4583333333</v>
      </c>
      <c r="M179" s="8">
        <v>65</v>
      </c>
      <c r="N179">
        <v>3</v>
      </c>
      <c r="O179">
        <v>1.6</v>
      </c>
      <c r="P179">
        <v>10</v>
      </c>
      <c r="Q179">
        <v>8.2</v>
      </c>
      <c r="R179">
        <v>0.9</v>
      </c>
      <c r="S179" t="s">
        <v>545</v>
      </c>
      <c r="T179" t="str">
        <f>_xlfn.DISPIMG("ID_39A08211ED6A4076AB89912F4CD96E32",1)</f>
        <v>=DISPIMG("ID_39A08211ED6A4076AB89912F4CD96E32",1)</v>
      </c>
      <c r="U179" t="s">
        <v>426</v>
      </c>
      <c r="V179" s="5" t="s">
        <v>506</v>
      </c>
      <c r="W179" s="5" t="s">
        <v>546</v>
      </c>
      <c r="X179"/>
    </row>
    <row r="180" customHeight="1" spans="1:24">
      <c r="A180" s="3" t="s">
        <v>547</v>
      </c>
      <c r="B180" s="4">
        <v>4012707.13</v>
      </c>
      <c r="C180" s="4"/>
      <c r="D180" s="4">
        <f>AVERAGEA(O180:Q180)</f>
        <v>10.1333333333333</v>
      </c>
      <c r="E180" s="4">
        <f>R180</f>
        <v>0.1</v>
      </c>
      <c r="H180" s="4">
        <v>3664404.16</v>
      </c>
      <c r="I180" s="4">
        <f>100-100*H180/B180</f>
        <v>8.67999977860333</v>
      </c>
      <c r="K180" s="4">
        <v>7.6</v>
      </c>
      <c r="L180" s="7">
        <v>44636.375</v>
      </c>
      <c r="M180" s="8"/>
      <c r="N180">
        <v>4</v>
      </c>
      <c r="O180">
        <v>12.5</v>
      </c>
      <c r="P180">
        <v>7.4</v>
      </c>
      <c r="Q180">
        <v>10.5</v>
      </c>
      <c r="R180">
        <v>0.1</v>
      </c>
      <c r="S180" t="s">
        <v>548</v>
      </c>
      <c r="T180" s="13" t="str">
        <f>_xlfn.DISPIMG("ID_E7B6C2B29CCA4B4D8B6DDB4E67A8393D",1)</f>
        <v>=DISPIMG("ID_E7B6C2B29CCA4B4D8B6DDB4E67A8393D",1)</v>
      </c>
      <c r="U180" s="120" t="s">
        <v>549</v>
      </c>
      <c r="V180" s="82" t="s">
        <v>29</v>
      </c>
      <c r="W180" s="5" t="s">
        <v>550</v>
      </c>
      <c r="X180"/>
    </row>
    <row r="181" customHeight="1" spans="1:24">
      <c r="A181" s="3" t="s">
        <v>551</v>
      </c>
      <c r="B181" s="4">
        <v>5878507.13</v>
      </c>
      <c r="D181" s="4">
        <v>98</v>
      </c>
      <c r="H181" s="4">
        <v>5404875.81</v>
      </c>
      <c r="I181" s="4">
        <f>100-100*H181/B181</f>
        <v>8.05700000911625</v>
      </c>
      <c r="K181" s="4">
        <v>12.3</v>
      </c>
      <c r="L181" s="7">
        <v>44637.4375</v>
      </c>
      <c r="M181" s="8">
        <v>556</v>
      </c>
      <c r="N181"/>
      <c r="O181"/>
      <c r="P181"/>
      <c r="Q181"/>
      <c r="R181"/>
      <c r="S181" t="s">
        <v>552</v>
      </c>
      <c r="T181" t="str">
        <f>_xlfn.DISPIMG("ID_B45AC5B0931F41358AA01BD5585B5788",1)</f>
        <v>=DISPIMG("ID_B45AC5B0931F41358AA01BD5585B5788",1)</v>
      </c>
      <c r="U181" t="s">
        <v>119</v>
      </c>
      <c r="V181" s="5" t="s">
        <v>120</v>
      </c>
      <c r="W181" s="20"/>
      <c r="X181"/>
    </row>
    <row r="182" customHeight="1" spans="1:24">
      <c r="A182" s="3" t="s">
        <v>553</v>
      </c>
      <c r="B182" s="4">
        <v>1680110.75</v>
      </c>
      <c r="D182" s="4">
        <f>AVERAGEA(O182:Q182)</f>
        <v>7.93333333333333</v>
      </c>
      <c r="E182" s="4">
        <f>R182</f>
        <v>0</v>
      </c>
      <c r="H182" s="4">
        <v>1547382</v>
      </c>
      <c r="I182" s="4">
        <f>100-100*H182/B182</f>
        <v>7.90000004463991</v>
      </c>
      <c r="K182" s="4">
        <v>8.6</v>
      </c>
      <c r="L182" s="7">
        <v>44637.4583333333</v>
      </c>
      <c r="M182" s="8">
        <v>17</v>
      </c>
      <c r="N182">
        <v>3</v>
      </c>
      <c r="O182">
        <v>6.2</v>
      </c>
      <c r="P182">
        <v>9.4</v>
      </c>
      <c r="Q182">
        <v>8.2</v>
      </c>
      <c r="R182"/>
      <c r="S182" t="s">
        <v>554</v>
      </c>
      <c r="T182" t="str">
        <f>_xlfn.DISPIMG("ID_856A5E68FBD44477803E98F6A3556521",1)</f>
        <v>=DISPIMG("ID_856A5E68FBD44477803E98F6A3556521",1)</v>
      </c>
      <c r="U182" s="120" t="s">
        <v>555</v>
      </c>
      <c r="V182" s="31" t="s">
        <v>556</v>
      </c>
      <c r="W182" s="5" t="s">
        <v>557</v>
      </c>
      <c r="X182"/>
    </row>
    <row r="183" customHeight="1" spans="1:24">
      <c r="A183" s="117" t="s">
        <v>558</v>
      </c>
      <c r="B183" s="4">
        <v>10421701.33</v>
      </c>
      <c r="D183" s="4">
        <v>101.5</v>
      </c>
      <c r="H183" s="4">
        <v>9675924.38</v>
      </c>
      <c r="I183" s="4">
        <f>100-100*H183/B183</f>
        <v>7.1560000271088</v>
      </c>
      <c r="K183" s="4">
        <v>6.2</v>
      </c>
      <c r="L183" s="7">
        <v>44638.4375</v>
      </c>
      <c r="M183" s="8">
        <v>47</v>
      </c>
      <c r="N183"/>
      <c r="O183"/>
      <c r="P183"/>
      <c r="Q183"/>
      <c r="R183"/>
      <c r="S183" t="s">
        <v>559</v>
      </c>
      <c r="T183" t="str">
        <f>_xlfn.DISPIMG("ID_A5C5C48DA77F4825959FA26444F402F2",1)</f>
        <v>=DISPIMG("ID_A5C5C48DA77F4825959FA26444F402F2",1)</v>
      </c>
      <c r="U183" t="s">
        <v>162</v>
      </c>
      <c r="V183" s="5" t="s">
        <v>560</v>
      </c>
      <c r="W183" s="5" t="s">
        <v>561</v>
      </c>
      <c r="X183"/>
    </row>
    <row r="184" customHeight="1" spans="1:24">
      <c r="A184" s="117" t="s">
        <v>562</v>
      </c>
      <c r="B184" s="4">
        <v>5012116.37</v>
      </c>
      <c r="D184" s="4">
        <v>100.5</v>
      </c>
      <c r="E184" s="4"/>
      <c r="H184" s="4">
        <v>4582076.79</v>
      </c>
      <c r="I184" s="4">
        <f>100-100*H184/B184</f>
        <v>8.57999990929979</v>
      </c>
      <c r="K184" s="4">
        <v>6.8</v>
      </c>
      <c r="L184" s="7">
        <v>44644.3958333333</v>
      </c>
      <c r="M184" s="8">
        <v>243</v>
      </c>
      <c r="N184"/>
      <c r="O184"/>
      <c r="P184"/>
      <c r="Q184"/>
      <c r="R184"/>
      <c r="S184" s="35" t="s">
        <v>563</v>
      </c>
      <c r="T184" t="str">
        <f>_xlfn.DISPIMG("ID_A5C5C48DA77F4825959FA26444F402F2",1)</f>
        <v>=DISPIMG("ID_A5C5C48DA77F4825959FA26444F402F2",1)</v>
      </c>
      <c r="U184" t="s">
        <v>162</v>
      </c>
      <c r="V184" s="31" t="s">
        <v>316</v>
      </c>
      <c r="W184" s="5" t="s">
        <v>564</v>
      </c>
      <c r="X184"/>
    </row>
    <row r="185" customHeight="1" spans="1:24">
      <c r="A185" s="3" t="s">
        <v>565</v>
      </c>
      <c r="B185" s="4">
        <v>4640844.78</v>
      </c>
      <c r="D185" s="4">
        <v>0.1</v>
      </c>
      <c r="E185" s="4"/>
      <c r="F185" s="4">
        <f>(H185/B185-D185)/(1-D185)</f>
        <v>0.852000920497161</v>
      </c>
      <c r="G185" s="4">
        <f>100-100*F185</f>
        <v>14.7999079502839</v>
      </c>
      <c r="H185" s="4">
        <v>4022688.1</v>
      </c>
      <c r="I185" s="4">
        <f>100-100*H185/B185</f>
        <v>13.3199171552555</v>
      </c>
      <c r="K185" s="4">
        <v>6.3</v>
      </c>
      <c r="L185" s="7">
        <v>44658.375</v>
      </c>
      <c r="M185" s="8">
        <v>139</v>
      </c>
      <c r="N185"/>
      <c r="O185"/>
      <c r="P185"/>
      <c r="Q185"/>
      <c r="R185"/>
      <c r="S185" s="35" t="s">
        <v>566</v>
      </c>
      <c r="T185" t="str">
        <f>_xlfn.DISPIMG("ID_2075DED061DC483A94E38AC7E8DD6DB4",1)</f>
        <v>=DISPIMG("ID_2075DED061DC483A94E38AC7E8DD6DB4",1)</v>
      </c>
      <c r="U185" t="s">
        <v>39</v>
      </c>
      <c r="V185" s="5" t="s">
        <v>40</v>
      </c>
      <c r="W185"/>
      <c r="X185"/>
    </row>
    <row r="186" customHeight="1" spans="1:24">
      <c r="A186" s="3" t="s">
        <v>567</v>
      </c>
      <c r="B186" s="4">
        <v>32466712.64</v>
      </c>
      <c r="D186" s="4">
        <v>0.3</v>
      </c>
      <c r="E186" s="4"/>
      <c r="F186" s="4">
        <f>(H186/B186-D186)/(1-D186)</f>
        <v>0.891601773910213</v>
      </c>
      <c r="G186" s="4">
        <f>100-100*F186</f>
        <v>10.8398226089787</v>
      </c>
      <c r="H186" s="4">
        <v>30003178.8</v>
      </c>
      <c r="I186" s="4">
        <f>100-100*H186/B186</f>
        <v>7.58787582628507</v>
      </c>
      <c r="K186" s="4">
        <v>7.6</v>
      </c>
      <c r="L186" s="7">
        <v>44666.375</v>
      </c>
      <c r="M186" s="8">
        <v>95</v>
      </c>
      <c r="N186"/>
      <c r="O186"/>
      <c r="P186"/>
      <c r="Q186"/>
      <c r="R186"/>
      <c r="S186" t="s">
        <v>568</v>
      </c>
      <c r="T186" s="13" t="str">
        <f>_xlfn.DISPIMG("ID_04911115B04F40D28BF0BCE92D4AA82B",1)</f>
        <v>=DISPIMG("ID_04911115B04F40D28BF0BCE92D4AA82B",1)</v>
      </c>
      <c r="U186" s="13" t="s">
        <v>569</v>
      </c>
      <c r="V186" s="20" t="s">
        <v>570</v>
      </c>
      <c r="W186"/>
      <c r="X186"/>
    </row>
    <row r="187" customHeight="1" spans="1:24">
      <c r="A187" s="3" t="s">
        <v>571</v>
      </c>
      <c r="B187" s="4">
        <v>4726690.59</v>
      </c>
      <c r="D187" s="4">
        <v>100.8</v>
      </c>
      <c r="H187" s="4">
        <v>4008238.94</v>
      </c>
      <c r="I187" s="4">
        <f>100-100*H187/B187</f>
        <v>15.1998874544483</v>
      </c>
      <c r="K187" s="4">
        <v>13.6</v>
      </c>
      <c r="L187" s="7">
        <v>44666.375</v>
      </c>
      <c r="M187" s="8">
        <v>80</v>
      </c>
      <c r="N187"/>
      <c r="O187"/>
      <c r="P187"/>
      <c r="Q187"/>
      <c r="R187"/>
      <c r="S187" t="s">
        <v>572</v>
      </c>
      <c r="T187" t="str">
        <f>_xlfn.DISPIMG("ID_B45AC5B0931F41358AA01BD5585B5788",1)</f>
        <v>=DISPIMG("ID_B45AC5B0931F41358AA01BD5585B5788",1)</v>
      </c>
      <c r="U187" t="s">
        <v>119</v>
      </c>
      <c r="V187" s="86" t="s">
        <v>451</v>
      </c>
      <c r="W187" s="20"/>
      <c r="X187"/>
    </row>
    <row r="188" customHeight="1" spans="1:24">
      <c r="A188" s="3" t="s">
        <v>573</v>
      </c>
      <c r="B188" s="4">
        <v>3219493.34</v>
      </c>
      <c r="C188" s="4"/>
      <c r="D188" s="4">
        <v>100.4</v>
      </c>
      <c r="E188" s="4"/>
      <c r="F188" s="4"/>
      <c r="G188" s="4"/>
      <c r="H188" s="4">
        <v>2736569.34</v>
      </c>
      <c r="I188" s="4">
        <f>100-100*H188/B188</f>
        <v>14.9999999689392</v>
      </c>
      <c r="K188" s="4">
        <v>15.2</v>
      </c>
      <c r="L188" s="7">
        <v>44666.375</v>
      </c>
      <c r="M188" s="8">
        <v>75</v>
      </c>
      <c r="N188"/>
      <c r="O188"/>
      <c r="P188"/>
      <c r="Q188"/>
      <c r="R188"/>
      <c r="S188" t="s">
        <v>574</v>
      </c>
      <c r="T188" t="str">
        <f>_xlfn.DISPIMG("ID_B45AC5B0931F41358AA01BD5585B5788",1)</f>
        <v>=DISPIMG("ID_B45AC5B0931F41358AA01BD5585B5788",1)</v>
      </c>
      <c r="U188" t="s">
        <v>119</v>
      </c>
      <c r="V188" s="86" t="s">
        <v>451</v>
      </c>
      <c r="W188" s="20"/>
      <c r="X188"/>
    </row>
    <row r="189" customHeight="1" spans="1:24">
      <c r="A189" s="3" t="s">
        <v>575</v>
      </c>
      <c r="B189" s="4">
        <v>1216998.49</v>
      </c>
      <c r="C189" s="4"/>
      <c r="D189" s="4">
        <v>98.4</v>
      </c>
      <c r="E189" s="4"/>
      <c r="F189" s="4"/>
      <c r="G189" s="4"/>
      <c r="H189" s="4">
        <v>1028120.32</v>
      </c>
      <c r="I189" s="4">
        <f>100-100*H189/B189</f>
        <v>15.5200003576011</v>
      </c>
      <c r="K189" s="4">
        <v>5.9</v>
      </c>
      <c r="L189" s="7">
        <v>44666.375</v>
      </c>
      <c r="M189" s="8">
        <v>55</v>
      </c>
      <c r="N189"/>
      <c r="O189"/>
      <c r="P189"/>
      <c r="Q189"/>
      <c r="R189"/>
      <c r="S189" t="s">
        <v>576</v>
      </c>
      <c r="T189" t="str">
        <f>_xlfn.DISPIMG("ID_B45AC5B0931F41358AA01BD5585B5788",1)</f>
        <v>=DISPIMG("ID_B45AC5B0931F41358AA01BD5585B5788",1)</v>
      </c>
      <c r="U189" t="s">
        <v>119</v>
      </c>
      <c r="V189" s="86" t="s">
        <v>577</v>
      </c>
      <c r="W189" s="36" t="s">
        <v>578</v>
      </c>
      <c r="X189"/>
    </row>
    <row r="190" customHeight="1" spans="1:24">
      <c r="A190" s="3" t="s">
        <v>579</v>
      </c>
      <c r="B190" s="4">
        <v>15284795</v>
      </c>
      <c r="C190" s="4"/>
      <c r="D190" s="4">
        <v>0.1</v>
      </c>
      <c r="E190" s="4"/>
      <c r="F190" s="4">
        <f>(H190/B190-D190)/(1-D190)</f>
        <v>0.968221950855954</v>
      </c>
      <c r="G190" s="4">
        <f>100-100*F190</f>
        <v>3.17780491440458</v>
      </c>
      <c r="H190" s="4">
        <v>14847646.13</v>
      </c>
      <c r="I190" s="4">
        <f>100-100*H190/B190</f>
        <v>2.86002442296413</v>
      </c>
      <c r="K190" s="4">
        <v>3.5</v>
      </c>
      <c r="L190" s="7">
        <v>44672.375</v>
      </c>
      <c r="M190" s="8">
        <v>232</v>
      </c>
      <c r="N190"/>
      <c r="O190"/>
      <c r="P190"/>
      <c r="Q190"/>
      <c r="R190"/>
      <c r="S190" t="s">
        <v>580</v>
      </c>
      <c r="T190" s="13" t="str">
        <f>_xlfn.DISPIMG("ID_5C1B5B8EA2164BF49185CA64500D4BE4",1)</f>
        <v>=DISPIMG("ID_5C1B5B8EA2164BF49185CA64500D4BE4",1)</v>
      </c>
      <c r="U190" s="13" t="s">
        <v>189</v>
      </c>
      <c r="V190" s="5" t="s">
        <v>581</v>
      </c>
      <c r="W190" s="36" t="s">
        <v>582</v>
      </c>
      <c r="X190"/>
    </row>
    <row r="191" customHeight="1" spans="1:24">
      <c r="A191" s="3" t="s">
        <v>583</v>
      </c>
      <c r="B191" s="4">
        <v>11741111.5</v>
      </c>
      <c r="C191" s="4"/>
      <c r="D191" s="4">
        <v>0.2</v>
      </c>
      <c r="E191" s="4"/>
      <c r="F191" s="4">
        <f>(H191/B191-D191)/(1-D191)</f>
        <v>0.945987499778023</v>
      </c>
      <c r="G191" s="4">
        <f>100-100*F191</f>
        <v>5.40125002219766</v>
      </c>
      <c r="H191" s="4">
        <v>11233778.07</v>
      </c>
      <c r="I191" s="4">
        <f>100-100*H191/B191</f>
        <v>4.32100001775811</v>
      </c>
      <c r="K191" s="4">
        <v>8.3</v>
      </c>
      <c r="L191" s="7">
        <v>44672.375</v>
      </c>
      <c r="M191" s="8">
        <v>230</v>
      </c>
      <c r="N191"/>
      <c r="O191"/>
      <c r="P191"/>
      <c r="Q191"/>
      <c r="R191"/>
      <c r="S191" t="s">
        <v>584</v>
      </c>
      <c r="T191" s="13" t="str">
        <f>_xlfn.DISPIMG("ID_5C1B5B8EA2164BF49185CA64500D4BE4",1)</f>
        <v>=DISPIMG("ID_5C1B5B8EA2164BF49185CA64500D4BE4",1)</v>
      </c>
      <c r="U191" s="13" t="s">
        <v>189</v>
      </c>
      <c r="V191" s="5" t="s">
        <v>581</v>
      </c>
      <c r="W191" s="36" t="s">
        <v>585</v>
      </c>
      <c r="X191"/>
    </row>
    <row r="192" customHeight="1" spans="1:24">
      <c r="A192" s="3" t="s">
        <v>586</v>
      </c>
      <c r="B192" s="4">
        <v>5367541.9</v>
      </c>
      <c r="D192" s="4">
        <v>0.3</v>
      </c>
      <c r="E192" s="4"/>
      <c r="F192" s="4">
        <f>(H192/B192-D192)/(1-D192)</f>
        <v>0.972857141819158</v>
      </c>
      <c r="G192" s="4">
        <f>100-100*F192</f>
        <v>2.71428581808422</v>
      </c>
      <c r="H192" s="4">
        <v>5265558.6</v>
      </c>
      <c r="I192" s="4">
        <f>100-100*H192/B192</f>
        <v>1.90000007265897</v>
      </c>
      <c r="K192" s="4">
        <v>7.3</v>
      </c>
      <c r="L192" s="7">
        <v>44672.375</v>
      </c>
      <c r="M192" s="8">
        <v>167</v>
      </c>
      <c r="N192"/>
      <c r="O192"/>
      <c r="P192"/>
      <c r="Q192"/>
      <c r="R192"/>
      <c r="S192" t="s">
        <v>587</v>
      </c>
      <c r="T192" s="13" t="str">
        <f>_xlfn.DISPIMG("ID_5C1B5B8EA2164BF49185CA64500D4BE4",1)</f>
        <v>=DISPIMG("ID_5C1B5B8EA2164BF49185CA64500D4BE4",1)</v>
      </c>
      <c r="U192" s="13" t="s">
        <v>189</v>
      </c>
      <c r="V192" s="5" t="s">
        <v>581</v>
      </c>
      <c r="W192" s="36" t="s">
        <v>588</v>
      </c>
      <c r="X192"/>
    </row>
    <row r="193" customHeight="1" spans="1:24">
      <c r="A193" s="3" t="s">
        <v>589</v>
      </c>
      <c r="B193" s="4">
        <v>10445167.25</v>
      </c>
      <c r="D193" s="4">
        <v>0.2</v>
      </c>
      <c r="E193" s="4"/>
      <c r="F193" s="4">
        <f>(H193/B193-D193)/(1-D193)</f>
        <v>0.96462500037996</v>
      </c>
      <c r="G193" s="4">
        <f>100-100*F193</f>
        <v>3.53749996200398</v>
      </c>
      <c r="H193" s="4">
        <v>10149569.02</v>
      </c>
      <c r="I193" s="4">
        <f>100-100*H193/B193</f>
        <v>2.82999996960316</v>
      </c>
      <c r="K193" s="4">
        <v>2.3</v>
      </c>
      <c r="L193" s="7">
        <v>44672.4583333333</v>
      </c>
      <c r="M193" s="8">
        <v>185</v>
      </c>
      <c r="N193"/>
      <c r="O193"/>
      <c r="P193"/>
      <c r="Q193"/>
      <c r="R193"/>
      <c r="S193" t="s">
        <v>590</v>
      </c>
      <c r="T193" s="13" t="str">
        <f>_xlfn.DISPIMG("ID_5C1B5B8EA2164BF49185CA64500D4BE4",1)</f>
        <v>=DISPIMG("ID_5C1B5B8EA2164BF49185CA64500D4BE4",1)</v>
      </c>
      <c r="U193" s="13" t="s">
        <v>189</v>
      </c>
      <c r="V193" s="5" t="s">
        <v>581</v>
      </c>
      <c r="W193" s="36" t="s">
        <v>591</v>
      </c>
      <c r="X193"/>
    </row>
    <row r="194" customHeight="1" spans="1:24">
      <c r="A194" s="3" t="s">
        <v>592</v>
      </c>
      <c r="B194" s="4">
        <v>8711938.47</v>
      </c>
      <c r="D194" s="4">
        <v>0.3</v>
      </c>
      <c r="E194" s="4"/>
      <c r="F194" s="4">
        <f>(H194/B194-D194)/(1-D194)</f>
        <v>0.971427315254148</v>
      </c>
      <c r="G194" s="4">
        <f>100-100*F194</f>
        <v>2.85726847458524</v>
      </c>
      <c r="H194" s="4">
        <v>8537692.04</v>
      </c>
      <c r="I194" s="4">
        <f>100-100*H194/B194</f>
        <v>2.00008793220967</v>
      </c>
      <c r="K194" s="4">
        <v>4.8</v>
      </c>
      <c r="L194" s="7">
        <v>44672.4583333333</v>
      </c>
      <c r="M194" s="8">
        <v>173</v>
      </c>
      <c r="N194"/>
      <c r="O194"/>
      <c r="P194"/>
      <c r="Q194"/>
      <c r="R194"/>
      <c r="S194" t="s">
        <v>593</v>
      </c>
      <c r="T194" s="13" t="str">
        <f>_xlfn.DISPIMG("ID_5C1B5B8EA2164BF49185CA64500D4BE4",1)</f>
        <v>=DISPIMG("ID_5C1B5B8EA2164BF49185CA64500D4BE4",1)</v>
      </c>
      <c r="U194" s="13" t="s">
        <v>189</v>
      </c>
      <c r="V194" s="5" t="s">
        <v>581</v>
      </c>
      <c r="W194" s="36" t="s">
        <v>594</v>
      </c>
      <c r="X194"/>
    </row>
    <row r="195" customHeight="1" spans="1:24">
      <c r="A195" s="3" t="s">
        <v>595</v>
      </c>
      <c r="B195" s="4">
        <v>6775565.63</v>
      </c>
      <c r="C195" s="4"/>
      <c r="D195" s="4">
        <v>0.3</v>
      </c>
      <c r="E195" s="4"/>
      <c r="F195" s="4">
        <f>(H195/B195-D195)/(1-D195)</f>
        <v>0.957571428405075</v>
      </c>
      <c r="G195" s="4">
        <f>100-100*F195</f>
        <v>4.24285715949254</v>
      </c>
      <c r="H195" s="4">
        <v>6574331.33</v>
      </c>
      <c r="I195" s="4">
        <f>100-100*H195/B195</f>
        <v>2.97000001164479</v>
      </c>
      <c r="K195" s="4">
        <v>2.2</v>
      </c>
      <c r="L195" s="7">
        <v>44672.4583333333</v>
      </c>
      <c r="M195" s="8">
        <v>172</v>
      </c>
      <c r="N195"/>
      <c r="O195"/>
      <c r="P195"/>
      <c r="Q195"/>
      <c r="R195"/>
      <c r="S195" t="s">
        <v>596</v>
      </c>
      <c r="T195" s="13" t="str">
        <f>_xlfn.DISPIMG("ID_5C1B5B8EA2164BF49185CA64500D4BE4",1)</f>
        <v>=DISPIMG("ID_5C1B5B8EA2164BF49185CA64500D4BE4",1)</v>
      </c>
      <c r="U195" s="13" t="s">
        <v>189</v>
      </c>
      <c r="V195" s="5" t="s">
        <v>581</v>
      </c>
      <c r="W195" s="38" t="s">
        <v>597</v>
      </c>
      <c r="X195"/>
    </row>
    <row r="196" customHeight="1" spans="1:24">
      <c r="A196" s="3" t="s">
        <v>598</v>
      </c>
      <c r="B196" s="4">
        <v>14401064.32</v>
      </c>
      <c r="C196" s="4"/>
      <c r="D196" s="4">
        <v>0.3</v>
      </c>
      <c r="E196" s="4"/>
      <c r="F196" s="4">
        <f>(H196/B196-D196)/(1-D196)</f>
        <v>0.969528510118183</v>
      </c>
      <c r="G196" s="4">
        <f>100-100*F196</f>
        <v>3.04714898818175</v>
      </c>
      <c r="H196" s="4">
        <v>14093889</v>
      </c>
      <c r="I196" s="4">
        <f>100-100*H196/B196</f>
        <v>2.13300429172725</v>
      </c>
      <c r="K196" s="4">
        <v>5.2</v>
      </c>
      <c r="L196" s="7">
        <v>44673.375</v>
      </c>
      <c r="M196" s="8">
        <v>141</v>
      </c>
      <c r="N196"/>
      <c r="O196"/>
      <c r="P196"/>
      <c r="Q196"/>
      <c r="R196"/>
      <c r="S196" t="s">
        <v>599</v>
      </c>
      <c r="T196" s="13" t="str">
        <f>_xlfn.DISPIMG("ID_5C1B5B8EA2164BF49185CA64500D4BE4",1)</f>
        <v>=DISPIMG("ID_5C1B5B8EA2164BF49185CA64500D4BE4",1)</v>
      </c>
      <c r="U196" s="13" t="s">
        <v>189</v>
      </c>
      <c r="V196" s="5" t="s">
        <v>581</v>
      </c>
      <c r="W196" s="5" t="s">
        <v>600</v>
      </c>
      <c r="X196"/>
    </row>
    <row r="197" customHeight="1" spans="1:24">
      <c r="A197" s="3" t="s">
        <v>601</v>
      </c>
      <c r="B197" s="4">
        <v>9488066.12</v>
      </c>
      <c r="D197" s="4">
        <v>0.2</v>
      </c>
      <c r="E197" s="4"/>
      <c r="F197" s="4">
        <f>(H197/B197-D197)/(1-D197)</f>
        <v>0.970974999381644</v>
      </c>
      <c r="G197" s="4">
        <f>100-100*F197</f>
        <v>2.90250006183557</v>
      </c>
      <c r="H197" s="4">
        <v>9267753.22</v>
      </c>
      <c r="I197" s="4">
        <f>100-100*H197/B197</f>
        <v>2.32200004946844</v>
      </c>
      <c r="K197" s="4">
        <v>2.3</v>
      </c>
      <c r="L197" s="7">
        <v>44673.375</v>
      </c>
      <c r="M197" s="8">
        <v>134</v>
      </c>
      <c r="N197"/>
      <c r="O197"/>
      <c r="P197"/>
      <c r="Q197"/>
      <c r="R197"/>
      <c r="S197" t="s">
        <v>602</v>
      </c>
      <c r="T197" s="13" t="str">
        <f>_xlfn.DISPIMG("ID_5C1B5B8EA2164BF49185CA64500D4BE4",1)</f>
        <v>=DISPIMG("ID_5C1B5B8EA2164BF49185CA64500D4BE4",1)</v>
      </c>
      <c r="U197" s="13" t="s">
        <v>189</v>
      </c>
      <c r="V197" s="5" t="s">
        <v>581</v>
      </c>
      <c r="W197" s="5" t="s">
        <v>603</v>
      </c>
      <c r="X197"/>
    </row>
    <row r="198" customHeight="1" spans="1:24">
      <c r="A198" s="3" t="s">
        <v>604</v>
      </c>
      <c r="B198" s="4">
        <v>4373371.91</v>
      </c>
      <c r="C198" s="4"/>
      <c r="D198" s="4">
        <v>0.2</v>
      </c>
      <c r="E198" s="4"/>
      <c r="F198" s="4">
        <f>(H198/B198-D198)/(1-D198)</f>
        <v>0.969587499591362</v>
      </c>
      <c r="G198" s="4">
        <f>100-100*F198</f>
        <v>3.0412500408638</v>
      </c>
      <c r="H198" s="4">
        <v>4266967.77</v>
      </c>
      <c r="I198" s="4">
        <f>100-100*H198/B198</f>
        <v>2.43300003269104</v>
      </c>
      <c r="K198" s="4">
        <v>3</v>
      </c>
      <c r="L198" s="7">
        <v>44673.375</v>
      </c>
      <c r="M198" s="8">
        <v>120</v>
      </c>
      <c r="N198"/>
      <c r="O198"/>
      <c r="P198"/>
      <c r="Q198"/>
      <c r="R198"/>
      <c r="S198" t="s">
        <v>605</v>
      </c>
      <c r="T198" s="13" t="str">
        <f>_xlfn.DISPIMG("ID_5C1B5B8EA2164BF49185CA64500D4BE4",1)</f>
        <v>=DISPIMG("ID_5C1B5B8EA2164BF49185CA64500D4BE4",1)</v>
      </c>
      <c r="U198" s="13" t="s">
        <v>189</v>
      </c>
      <c r="V198" s="5" t="s">
        <v>581</v>
      </c>
      <c r="W198" s="5" t="s">
        <v>606</v>
      </c>
      <c r="X198"/>
    </row>
    <row r="199" customHeight="1" spans="1:24">
      <c r="A199" s="3" t="s">
        <v>607</v>
      </c>
      <c r="B199" s="4">
        <v>20332533.05</v>
      </c>
      <c r="D199" s="4">
        <v>0.1</v>
      </c>
      <c r="E199" s="4"/>
      <c r="F199" s="4">
        <f>(H199/B199-D199)/(1-D199)</f>
        <v>0.96677777767914</v>
      </c>
      <c r="G199" s="4">
        <f>100-100*F199</f>
        <v>3.32222223208602</v>
      </c>
      <c r="H199" s="4">
        <v>19724590.31</v>
      </c>
      <c r="I199" s="4">
        <f>100-100*H199/B199</f>
        <v>2.99000000887742</v>
      </c>
      <c r="K199" s="4">
        <v>3.2</v>
      </c>
      <c r="L199" s="7">
        <v>44673.4583333333</v>
      </c>
      <c r="M199" s="8">
        <v>164</v>
      </c>
      <c r="N199"/>
      <c r="O199"/>
      <c r="P199"/>
      <c r="Q199"/>
      <c r="R199"/>
      <c r="S199" t="s">
        <v>608</v>
      </c>
      <c r="T199" s="13" t="str">
        <f>_xlfn.DISPIMG("ID_5C1B5B8EA2164BF49185CA64500D4BE4",1)</f>
        <v>=DISPIMG("ID_5C1B5B8EA2164BF49185CA64500D4BE4",1)</v>
      </c>
      <c r="U199" s="13" t="s">
        <v>189</v>
      </c>
      <c r="V199" s="5" t="s">
        <v>581</v>
      </c>
      <c r="W199" s="38" t="s">
        <v>609</v>
      </c>
      <c r="X199"/>
    </row>
    <row r="200" customHeight="1" spans="1:24">
      <c r="A200" s="3" t="s">
        <v>610</v>
      </c>
      <c r="B200" s="4">
        <v>7200925.42</v>
      </c>
      <c r="C200" s="4"/>
      <c r="D200" s="4">
        <v>0.1</v>
      </c>
      <c r="E200" s="4"/>
      <c r="F200" s="4">
        <f>(H200/B200-D200)/(1-D200)</f>
        <v>0.960877778400877</v>
      </c>
      <c r="G200" s="4">
        <f>100-100*F200</f>
        <v>3.91222215991233</v>
      </c>
      <c r="H200" s="4">
        <v>6947380.84</v>
      </c>
      <c r="I200" s="4">
        <f>100-100*H200/B200</f>
        <v>3.5209999439211</v>
      </c>
      <c r="K200" s="4">
        <v>2.68</v>
      </c>
      <c r="L200" s="7">
        <v>44673.4583333333</v>
      </c>
      <c r="M200" s="8">
        <v>125</v>
      </c>
      <c r="N200"/>
      <c r="O200"/>
      <c r="P200"/>
      <c r="Q200"/>
      <c r="R200"/>
      <c r="S200" t="s">
        <v>611</v>
      </c>
      <c r="T200" s="13" t="str">
        <f>_xlfn.DISPIMG("ID_5C1B5B8EA2164BF49185CA64500D4BE4",1)</f>
        <v>=DISPIMG("ID_5C1B5B8EA2164BF49185CA64500D4BE4",1)</v>
      </c>
      <c r="U200" s="13" t="s">
        <v>189</v>
      </c>
      <c r="V200" s="5" t="s">
        <v>581</v>
      </c>
      <c r="W200" s="38" t="s">
        <v>612</v>
      </c>
      <c r="X200"/>
    </row>
    <row r="201" customHeight="1" spans="1:24">
      <c r="A201" s="3" t="s">
        <v>613</v>
      </c>
      <c r="B201" s="4">
        <v>17615792.79</v>
      </c>
      <c r="C201" s="4"/>
      <c r="D201" s="4">
        <v>101</v>
      </c>
      <c r="E201" s="4"/>
      <c r="F201" s="4"/>
      <c r="G201" s="4"/>
      <c r="H201" s="4">
        <v>16460534.14</v>
      </c>
      <c r="I201" s="4">
        <f>100-100*H201/B201</f>
        <v>6.55808491716483</v>
      </c>
      <c r="K201" s="4">
        <v>7.6</v>
      </c>
      <c r="L201" s="7">
        <v>44676.375</v>
      </c>
      <c r="M201" s="8">
        <v>55</v>
      </c>
      <c r="N201"/>
      <c r="O201"/>
      <c r="P201"/>
      <c r="Q201"/>
      <c r="R201"/>
      <c r="S201" t="s">
        <v>614</v>
      </c>
      <c r="T201" t="str">
        <f>_xlfn.DISPIMG("ID_A5C5C48DA77F4825959FA26444F402F2",1)</f>
        <v>=DISPIMG("ID_A5C5C48DA77F4825959FA26444F402F2",1)</v>
      </c>
      <c r="U201" t="s">
        <v>162</v>
      </c>
      <c r="V201" s="124" t="s">
        <v>560</v>
      </c>
      <c r="W201" s="20"/>
      <c r="X201"/>
    </row>
    <row r="202" customHeight="1" spans="1:24">
      <c r="A202" s="3" t="s">
        <v>615</v>
      </c>
      <c r="B202" s="4">
        <v>15493972.14</v>
      </c>
      <c r="C202" s="4"/>
      <c r="D202" s="4">
        <v>101</v>
      </c>
      <c r="E202" s="4"/>
      <c r="F202" s="4"/>
      <c r="G202" s="4"/>
      <c r="H202" s="4">
        <v>14372968.43</v>
      </c>
      <c r="I202" s="4">
        <f>100-100*H202/B202</f>
        <v>7.23509568670232</v>
      </c>
      <c r="K202" s="4">
        <v>5.88</v>
      </c>
      <c r="L202" s="7">
        <v>44676.375</v>
      </c>
      <c r="M202" s="8">
        <v>55</v>
      </c>
      <c r="N202"/>
      <c r="O202"/>
      <c r="P202"/>
      <c r="Q202"/>
      <c r="R202"/>
      <c r="S202" t="s">
        <v>616</v>
      </c>
      <c r="T202" t="str">
        <f>_xlfn.DISPIMG("ID_A5C5C48DA77F4825959FA26444F402F2",1)</f>
        <v>=DISPIMG("ID_A5C5C48DA77F4825959FA26444F402F2",1)</v>
      </c>
      <c r="U202" t="s">
        <v>162</v>
      </c>
      <c r="V202" s="124" t="s">
        <v>560</v>
      </c>
      <c r="W202" s="20"/>
      <c r="X202"/>
    </row>
    <row r="203" customHeight="1" spans="1:24">
      <c r="A203" s="3" t="s">
        <v>617</v>
      </c>
      <c r="B203" s="4">
        <v>6909180.11</v>
      </c>
      <c r="C203" s="4"/>
      <c r="D203" s="4">
        <v>102</v>
      </c>
      <c r="E203" s="4"/>
      <c r="F203" s="4"/>
      <c r="G203" s="4"/>
      <c r="H203" s="4">
        <v>6508588.21</v>
      </c>
      <c r="I203" s="4">
        <f>100-100*H203/B203</f>
        <v>5.79796580234178</v>
      </c>
      <c r="K203" s="4">
        <v>8.2</v>
      </c>
      <c r="L203" s="7">
        <v>44676.4166666667</v>
      </c>
      <c r="M203" s="8">
        <v>54</v>
      </c>
      <c r="N203"/>
      <c r="O203"/>
      <c r="P203"/>
      <c r="Q203"/>
      <c r="R203"/>
      <c r="S203" t="s">
        <v>618</v>
      </c>
      <c r="T203" t="str">
        <f>_xlfn.DISPIMG("ID_A5C5C48DA77F4825959FA26444F402F2",1)</f>
        <v>=DISPIMG("ID_A5C5C48DA77F4825959FA26444F402F2",1)</v>
      </c>
      <c r="U203" t="s">
        <v>162</v>
      </c>
      <c r="V203" s="124" t="s">
        <v>560</v>
      </c>
      <c r="W203" s="20"/>
      <c r="X203"/>
    </row>
    <row r="204" customHeight="1" spans="1:24">
      <c r="A204" s="3" t="s">
        <v>619</v>
      </c>
      <c r="B204" s="4">
        <v>3361372.96</v>
      </c>
      <c r="C204" s="4"/>
      <c r="D204" s="4">
        <v>100.5</v>
      </c>
      <c r="E204" s="4"/>
      <c r="F204" s="4"/>
      <c r="G204" s="4"/>
      <c r="H204" s="4">
        <v>3112078.73</v>
      </c>
      <c r="I204" s="4">
        <f>100-100*H204/B204</f>
        <v>7.4164406320446</v>
      </c>
      <c r="K204" s="4">
        <v>6.2</v>
      </c>
      <c r="L204" s="7">
        <v>44676.4166666667</v>
      </c>
      <c r="M204" s="8">
        <v>54</v>
      </c>
      <c r="N204"/>
      <c r="O204"/>
      <c r="P204"/>
      <c r="Q204"/>
      <c r="R204"/>
      <c r="S204" t="s">
        <v>620</v>
      </c>
      <c r="T204" t="str">
        <f>_xlfn.DISPIMG("ID_A5C5C48DA77F4825959FA26444F402F2",1)</f>
        <v>=DISPIMG("ID_A5C5C48DA77F4825959FA26444F402F2",1)</v>
      </c>
      <c r="U204" t="s">
        <v>162</v>
      </c>
      <c r="V204" s="124" t="s">
        <v>560</v>
      </c>
      <c r="W204" s="20"/>
      <c r="X204"/>
    </row>
    <row r="205" customHeight="1" spans="1:24">
      <c r="A205" s="3" t="s">
        <v>621</v>
      </c>
      <c r="B205" s="4">
        <v>10756212.43</v>
      </c>
      <c r="D205" s="4">
        <f>AVERAGE(O205:Q205)</f>
        <v>7.46666666666667</v>
      </c>
      <c r="E205" s="4">
        <f>R205</f>
        <v>0.7</v>
      </c>
      <c r="H205" s="4">
        <v>9973160.17</v>
      </c>
      <c r="I205" s="4">
        <f>100-100*H205/B205</f>
        <v>7.27999995440774</v>
      </c>
      <c r="K205" s="4">
        <v>10.78</v>
      </c>
      <c r="L205" s="7">
        <v>44679.375</v>
      </c>
      <c r="M205" s="8">
        <v>125</v>
      </c>
      <c r="N205">
        <v>2</v>
      </c>
      <c r="O205">
        <v>2.4</v>
      </c>
      <c r="P205">
        <v>5.6</v>
      </c>
      <c r="Q205">
        <v>14.4</v>
      </c>
      <c r="R205">
        <v>0.7</v>
      </c>
      <c r="S205" s="35" t="s">
        <v>622</v>
      </c>
      <c r="T205" t="str">
        <f>_xlfn.DISPIMG("ID_8594350670894A83994259256103CCA3",1)</f>
        <v>=DISPIMG("ID_8594350670894A83994259256103CCA3",1)</v>
      </c>
      <c r="U205" s="120" t="s">
        <v>623</v>
      </c>
      <c r="V205" s="82" t="s">
        <v>29</v>
      </c>
      <c r="W205" s="5" t="s">
        <v>624</v>
      </c>
      <c r="X205"/>
    </row>
    <row r="206" customHeight="1" spans="1:24">
      <c r="A206" s="3" t="s">
        <v>625</v>
      </c>
      <c r="B206" s="4">
        <v>4645489.71</v>
      </c>
      <c r="C206" s="4"/>
      <c r="D206" s="4">
        <f>AVERAGE(O206:Q206)</f>
        <v>3.16666666666667</v>
      </c>
      <c r="E206" s="4">
        <f>R206</f>
        <v>0.5</v>
      </c>
      <c r="H206" s="4">
        <v>4438440.23</v>
      </c>
      <c r="I206" s="4">
        <f>100-100*H206/B206</f>
        <v>4.45700007803912</v>
      </c>
      <c r="K206" s="4">
        <v>10.36</v>
      </c>
      <c r="L206" s="7">
        <v>44687.3958333333</v>
      </c>
      <c r="M206" s="8">
        <v>126</v>
      </c>
      <c r="N206">
        <v>1</v>
      </c>
      <c r="O206">
        <v>1.3</v>
      </c>
      <c r="P206">
        <v>0.5</v>
      </c>
      <c r="Q206">
        <v>7.7</v>
      </c>
      <c r="R206">
        <v>0.5</v>
      </c>
      <c r="S206" s="35" t="s">
        <v>626</v>
      </c>
      <c r="T206" t="str">
        <f>_xlfn.DISPIMG("ID_39A08211ED6A4076AB89912F4CD96E32",1)</f>
        <v>=DISPIMG("ID_39A08211ED6A4076AB89912F4CD96E32",1)</v>
      </c>
      <c r="U206" s="120" t="s">
        <v>426</v>
      </c>
      <c r="V206" s="82" t="s">
        <v>29</v>
      </c>
      <c r="W206" s="82" t="s">
        <v>627</v>
      </c>
      <c r="X206"/>
    </row>
    <row r="207" customHeight="1" spans="1:24">
      <c r="A207" s="3" t="s">
        <v>628</v>
      </c>
      <c r="B207" s="4">
        <v>4174800.24</v>
      </c>
      <c r="D207" s="4">
        <f>AVERAGE(O207:Q207)</f>
        <v>3.33333333333333</v>
      </c>
      <c r="E207" s="4">
        <f>R207</f>
        <v>0.7</v>
      </c>
      <c r="H207" s="4">
        <v>3978542.88</v>
      </c>
      <c r="I207" s="4">
        <f>100-100*H207/B207</f>
        <v>4.70100001718885</v>
      </c>
      <c r="K207" s="4">
        <v>7.32</v>
      </c>
      <c r="L207" s="7">
        <v>44687.3958333333</v>
      </c>
      <c r="M207" s="8">
        <v>125</v>
      </c>
      <c r="N207">
        <v>1</v>
      </c>
      <c r="O207">
        <v>5.8</v>
      </c>
      <c r="P207">
        <v>2.7</v>
      </c>
      <c r="Q207">
        <v>1.5</v>
      </c>
      <c r="R207">
        <v>0.7</v>
      </c>
      <c r="S207" s="35" t="s">
        <v>629</v>
      </c>
      <c r="T207" t="str">
        <f>_xlfn.DISPIMG("ID_8594350670894A83994259256103CCA3",1)</f>
        <v>=DISPIMG("ID_8594350670894A83994259256103CCA3",1)</v>
      </c>
      <c r="U207" s="120" t="s">
        <v>623</v>
      </c>
      <c r="V207" s="82" t="s">
        <v>29</v>
      </c>
      <c r="W207" s="82" t="s">
        <v>630</v>
      </c>
      <c r="X207"/>
    </row>
    <row r="208" customHeight="1" spans="1:24">
      <c r="A208" s="3" t="s">
        <v>631</v>
      </c>
      <c r="B208" s="4">
        <v>2117238.77</v>
      </c>
      <c r="D208" s="4">
        <v>100.4</v>
      </c>
      <c r="E208" s="4">
        <v>11</v>
      </c>
      <c r="F208" s="4">
        <f>H208/B208/(D208*0.01)</f>
        <v>0.962818724254754</v>
      </c>
      <c r="G208" s="4">
        <f>100-100*F208</f>
        <v>3.71812757452464</v>
      </c>
      <c r="H208" s="4">
        <v>2046671.2</v>
      </c>
      <c r="I208" s="4">
        <f>100-100*H208/B208</f>
        <v>3.33300008482274</v>
      </c>
      <c r="K208" s="4">
        <v>4.2</v>
      </c>
      <c r="L208" s="7">
        <v>44687.3958333333</v>
      </c>
      <c r="M208" s="8">
        <v>79</v>
      </c>
      <c r="N208" s="111"/>
      <c r="O208" s="111"/>
      <c r="P208" s="111"/>
      <c r="Q208" s="111"/>
      <c r="R208" s="111"/>
      <c r="S208" s="35" t="s">
        <v>632</v>
      </c>
      <c r="T208" t="str">
        <f>_xlfn.DISPIMG("ID_A8CF580EBC2A49AE915DAA560CE19244",1)</f>
        <v>=DISPIMG("ID_A8CF580EBC2A49AE915DAA560CE19244",1)</v>
      </c>
      <c r="U208" s="120" t="s">
        <v>26</v>
      </c>
      <c r="V208" s="86" t="s">
        <v>59</v>
      </c>
      <c r="W208" s="5" t="s">
        <v>633</v>
      </c>
      <c r="X208"/>
    </row>
    <row r="209" customHeight="1" spans="1:24">
      <c r="A209" s="3" t="s">
        <v>634</v>
      </c>
      <c r="B209" s="4">
        <v>39948320.7</v>
      </c>
      <c r="D209" s="4">
        <f>AVERAGEA(O209:Q209)</f>
        <v>4.76666666666667</v>
      </c>
      <c r="E209" s="4">
        <f>R209</f>
        <v>0.3</v>
      </c>
      <c r="H209" s="4">
        <v>35793695.35</v>
      </c>
      <c r="I209" s="4">
        <f>100-100*H209/B209</f>
        <v>10.399999992991</v>
      </c>
      <c r="K209" s="4">
        <v>5.3</v>
      </c>
      <c r="L209" s="7">
        <v>44687.4583333333</v>
      </c>
      <c r="M209" s="8">
        <v>99</v>
      </c>
      <c r="N209">
        <v>3</v>
      </c>
      <c r="O209">
        <v>0.7</v>
      </c>
      <c r="P209">
        <v>4.3</v>
      </c>
      <c r="Q209">
        <v>9.3</v>
      </c>
      <c r="R209">
        <v>0.3</v>
      </c>
      <c r="S209" t="s">
        <v>635</v>
      </c>
      <c r="T209" t="str">
        <f>_xlfn.DISPIMG("ID_8594350670894A83994259256103CCA3",1)</f>
        <v>=DISPIMG("ID_8594350670894A83994259256103CCA3",1)</v>
      </c>
      <c r="U209" s="120" t="s">
        <v>623</v>
      </c>
      <c r="V209" s="82" t="s">
        <v>29</v>
      </c>
      <c r="W209" s="5" t="s">
        <v>636</v>
      </c>
      <c r="X209"/>
    </row>
    <row r="210" customHeight="1" spans="1:23">
      <c r="A210" s="3" t="s">
        <v>637</v>
      </c>
      <c r="B210" s="4">
        <v>6311229.08</v>
      </c>
      <c r="C210" s="4">
        <v>5870984.31</v>
      </c>
      <c r="D210" s="4">
        <f>AVERAGE(O210:Q210)</f>
        <v>8.06666666666667</v>
      </c>
      <c r="E210" s="4">
        <f>R210</f>
        <v>0.3</v>
      </c>
      <c r="F210" s="4">
        <f>(C210-B210*(1-0.01*D210)*E210)/(B210*(1-E210))</f>
        <v>0.934920300078403</v>
      </c>
      <c r="G210" s="4">
        <f>100-100*F210</f>
        <v>6.5079699921597</v>
      </c>
      <c r="H210" s="4">
        <v>5869569.27</v>
      </c>
      <c r="I210" s="4">
        <f>100-100*H210/B210</f>
        <v>6.99799998386368</v>
      </c>
      <c r="K210" s="4">
        <v>6.88</v>
      </c>
      <c r="L210" s="7">
        <v>44688.3958333333</v>
      </c>
      <c r="M210" s="8">
        <v>122</v>
      </c>
      <c r="N210" s="13">
        <v>4</v>
      </c>
      <c r="O210" s="13">
        <v>9.1</v>
      </c>
      <c r="P210" s="13">
        <v>1.2</v>
      </c>
      <c r="Q210" s="13">
        <v>13.9</v>
      </c>
      <c r="R210" s="13">
        <v>0.3</v>
      </c>
      <c r="S210" s="61" t="s">
        <v>638</v>
      </c>
      <c r="T210" t="str">
        <f>_xlfn.DISPIMG("ID_8594350670894A83994259256103CCA3",1)</f>
        <v>=DISPIMG("ID_8594350670894A83994259256103CCA3",1)</v>
      </c>
      <c r="U210" s="66" t="s">
        <v>623</v>
      </c>
      <c r="V210" s="82" t="s">
        <v>29</v>
      </c>
      <c r="W210" s="125" t="s">
        <v>639</v>
      </c>
    </row>
    <row r="211" customHeight="1" spans="1:24">
      <c r="A211" s="3" t="s">
        <v>640</v>
      </c>
      <c r="B211" s="4">
        <v>5095949.41</v>
      </c>
      <c r="C211" s="4"/>
      <c r="D211" s="4">
        <f>AVERAGE(O211:Q211)</f>
        <v>7.96666666666667</v>
      </c>
      <c r="E211" s="4">
        <f>R211</f>
        <v>0.7</v>
      </c>
      <c r="H211" s="4">
        <v>4695356.83</v>
      </c>
      <c r="I211" s="4">
        <f>100-100*H211/B211</f>
        <v>7.86099993877295</v>
      </c>
      <c r="K211" s="4">
        <v>7.43</v>
      </c>
      <c r="L211" s="7">
        <v>44690.375</v>
      </c>
      <c r="M211" s="8">
        <v>115</v>
      </c>
      <c r="N211">
        <v>2</v>
      </c>
      <c r="O211">
        <v>4.2</v>
      </c>
      <c r="P211">
        <v>6.5</v>
      </c>
      <c r="Q211">
        <v>13.2</v>
      </c>
      <c r="R211">
        <v>0.7</v>
      </c>
      <c r="S211" s="35" t="s">
        <v>641</v>
      </c>
      <c r="T211" s="13" t="str">
        <f>_xlfn.DISPIMG("ID_E7B6C2B29CCA4B4D8B6DDB4E67A8393D",1)</f>
        <v>=DISPIMG("ID_E7B6C2B29CCA4B4D8B6DDB4E67A8393D",1)</v>
      </c>
      <c r="U211" s="120" t="s">
        <v>549</v>
      </c>
      <c r="V211" s="82" t="s">
        <v>29</v>
      </c>
      <c r="W211" s="5" t="s">
        <v>642</v>
      </c>
      <c r="X211"/>
    </row>
    <row r="212" customHeight="1" spans="1:24">
      <c r="A212" s="3" t="s">
        <v>643</v>
      </c>
      <c r="B212" s="4">
        <v>8251241.5</v>
      </c>
      <c r="C212" s="4"/>
      <c r="D212" s="4">
        <v>100</v>
      </c>
      <c r="H212" s="4">
        <v>7682318.4</v>
      </c>
      <c r="I212" s="4">
        <f>100-100*H212/B212</f>
        <v>6.89499998272987</v>
      </c>
      <c r="K212" s="4">
        <v>8.2</v>
      </c>
      <c r="L212" s="7">
        <v>44691.3958333333</v>
      </c>
      <c r="M212" s="8">
        <v>569</v>
      </c>
      <c r="N212"/>
      <c r="O212"/>
      <c r="P212"/>
      <c r="Q212"/>
      <c r="R212"/>
      <c r="S212" t="s">
        <v>644</v>
      </c>
      <c r="T212" t="str">
        <f>_xlfn.DISPIMG("ID_A5C5C48DA77F4825959FA26444F402F2",1)</f>
        <v>=DISPIMG("ID_A5C5C48DA77F4825959FA26444F402F2",1)</v>
      </c>
      <c r="U212" t="s">
        <v>162</v>
      </c>
      <c r="V212" s="29" t="s">
        <v>645</v>
      </c>
      <c r="W212" s="20"/>
      <c r="X212"/>
    </row>
    <row r="213" customHeight="1" spans="1:24">
      <c r="A213" s="117" t="s">
        <v>646</v>
      </c>
      <c r="B213" s="4">
        <v>4800721.23</v>
      </c>
      <c r="C213" s="4"/>
      <c r="D213" s="4">
        <v>99</v>
      </c>
      <c r="E213" s="4"/>
      <c r="F213" s="4"/>
      <c r="G213" s="4"/>
      <c r="H213" s="4">
        <v>4351888</v>
      </c>
      <c r="I213" s="4">
        <f>100-100*H213/B213</f>
        <v>9.34928750278634</v>
      </c>
      <c r="K213" s="4">
        <v>6.5</v>
      </c>
      <c r="L213" s="7">
        <v>44692.3958333333</v>
      </c>
      <c r="M213" s="8">
        <v>187</v>
      </c>
      <c r="N213"/>
      <c r="O213"/>
      <c r="P213"/>
      <c r="Q213"/>
      <c r="R213"/>
      <c r="S213" s="35" t="s">
        <v>647</v>
      </c>
      <c r="T213" t="str">
        <f>_xlfn.DISPIMG("ID_A5C5C48DA77F4825959FA26444F402F2",1)</f>
        <v>=DISPIMG("ID_A5C5C48DA77F4825959FA26444F402F2",1)</v>
      </c>
      <c r="U213" t="s">
        <v>162</v>
      </c>
      <c r="V213" s="31" t="s">
        <v>316</v>
      </c>
      <c r="W213" s="20"/>
      <c r="X213"/>
    </row>
    <row r="214" customHeight="1" spans="1:24">
      <c r="A214" s="3" t="s">
        <v>648</v>
      </c>
      <c r="B214" s="4">
        <v>7084236.13</v>
      </c>
      <c r="C214" s="4"/>
      <c r="D214" s="4">
        <v>0.1</v>
      </c>
      <c r="E214" s="4"/>
      <c r="F214" s="4">
        <f>(H214/B214-D214)/(1-D214)</f>
        <v>0.906900143563302</v>
      </c>
      <c r="G214" s="4">
        <f>100-100*F214</f>
        <v>9.30998564366976</v>
      </c>
      <c r="H214" s="4">
        <v>6490648.9</v>
      </c>
      <c r="I214" s="4">
        <f>100-100*H214/B214</f>
        <v>8.37898707930279</v>
      </c>
      <c r="K214" s="4">
        <v>6.68</v>
      </c>
      <c r="L214" s="7">
        <v>44698.3958333333</v>
      </c>
      <c r="M214" s="8">
        <v>641</v>
      </c>
      <c r="N214"/>
      <c r="O214"/>
      <c r="P214"/>
      <c r="Q214"/>
      <c r="R214"/>
      <c r="S214" t="s">
        <v>649</v>
      </c>
      <c r="T214" t="str">
        <f>_xlfn.DISPIMG("ID_AE8DB1D0E07F4A4687CDBE6608B76358",1)</f>
        <v>=DISPIMG("ID_AE8DB1D0E07F4A4687CDBE6608B76358",1)</v>
      </c>
      <c r="U214" s="13" t="s">
        <v>650</v>
      </c>
      <c r="V214" s="5" t="s">
        <v>581</v>
      </c>
      <c r="W214" s="26" t="s">
        <v>651</v>
      </c>
      <c r="X214"/>
    </row>
    <row r="215" customHeight="1" spans="1:24">
      <c r="A215" s="3" t="s">
        <v>652</v>
      </c>
      <c r="B215" s="4">
        <v>4730853.24</v>
      </c>
      <c r="D215" s="4">
        <f>AVERAGE(O215:Q215)</f>
        <v>11.9666666666667</v>
      </c>
      <c r="E215" s="4">
        <f>R215</f>
        <v>0.7</v>
      </c>
      <c r="H215" s="4">
        <v>4238134.88</v>
      </c>
      <c r="I215" s="4">
        <f>100-100*H215/B215</f>
        <v>10.4149998954523</v>
      </c>
      <c r="K215" s="4">
        <v>6.37</v>
      </c>
      <c r="L215" s="7">
        <v>44698.3958333333</v>
      </c>
      <c r="M215" s="8">
        <v>123</v>
      </c>
      <c r="N215">
        <v>3</v>
      </c>
      <c r="O215">
        <v>14.7</v>
      </c>
      <c r="P215">
        <v>12.4</v>
      </c>
      <c r="Q215">
        <v>8.8</v>
      </c>
      <c r="R215">
        <v>0.7</v>
      </c>
      <c r="S215" s="35" t="s">
        <v>653</v>
      </c>
      <c r="T215" t="str">
        <f>_xlfn.DISPIMG("ID_8594350670894A83994259256103CCA3",1)</f>
        <v>=DISPIMG("ID_8594350670894A83994259256103CCA3",1)</v>
      </c>
      <c r="U215" s="120" t="s">
        <v>623</v>
      </c>
      <c r="V215" s="82" t="s">
        <v>29</v>
      </c>
      <c r="W215" s="92" t="s">
        <v>654</v>
      </c>
      <c r="X215"/>
    </row>
    <row r="216" customHeight="1" spans="1:24">
      <c r="A216" s="3" t="s">
        <v>655</v>
      </c>
      <c r="B216" s="4">
        <v>4015699.3</v>
      </c>
      <c r="D216" s="4">
        <f>AVERAGE(O216:Q216)</f>
        <v>10.3666666666667</v>
      </c>
      <c r="E216" s="4">
        <f>R216</f>
        <v>0.7</v>
      </c>
      <c r="H216" s="4">
        <v>3634047.24</v>
      </c>
      <c r="I216" s="4">
        <f>100-100*H216/B216</f>
        <v>9.50399996334386</v>
      </c>
      <c r="K216" s="4">
        <v>8.46</v>
      </c>
      <c r="L216" s="7">
        <v>44699.375</v>
      </c>
      <c r="M216" s="8">
        <v>123</v>
      </c>
      <c r="N216">
        <v>1</v>
      </c>
      <c r="O216">
        <v>7.2</v>
      </c>
      <c r="P216">
        <v>13</v>
      </c>
      <c r="Q216">
        <v>10.9</v>
      </c>
      <c r="R216">
        <v>0.7</v>
      </c>
      <c r="S216" s="35" t="s">
        <v>656</v>
      </c>
      <c r="T216" s="13" t="str">
        <f>_xlfn.DISPIMG("ID_E7B6C2B29CCA4B4D8B6DDB4E67A8393D",1)</f>
        <v>=DISPIMG("ID_E7B6C2B29CCA4B4D8B6DDB4E67A8393D",1)</v>
      </c>
      <c r="U216" s="120" t="s">
        <v>549</v>
      </c>
      <c r="V216" s="82" t="s">
        <v>29</v>
      </c>
      <c r="W216" s="82" t="s">
        <v>657</v>
      </c>
      <c r="X216"/>
    </row>
    <row r="217" customHeight="1" spans="1:23">
      <c r="A217" s="3" t="s">
        <v>658</v>
      </c>
      <c r="B217" s="4">
        <v>7724163.71</v>
      </c>
      <c r="C217" s="4">
        <v>7161426.18</v>
      </c>
      <c r="D217" s="4">
        <f>AVERAGE(O217:Q217)</f>
        <v>5.86666666666667</v>
      </c>
      <c r="E217" s="4">
        <f>R217</f>
        <v>0.1</v>
      </c>
      <c r="F217" s="4">
        <f>(C217-B217*(1-0.01*D217)*E217)/(B217*(1-E217))</f>
        <v>0.925569441609036</v>
      </c>
      <c r="G217" s="4">
        <f>100-100*F217</f>
        <v>7.44305583909637</v>
      </c>
      <c r="H217" s="4">
        <v>7159295.62</v>
      </c>
      <c r="I217" s="4">
        <f>100-100*H217/B217</f>
        <v>7.31299997265334</v>
      </c>
      <c r="L217" s="7">
        <v>44699.3958333333</v>
      </c>
      <c r="M217" s="8">
        <v>130</v>
      </c>
      <c r="N217" s="13">
        <v>2</v>
      </c>
      <c r="O217" s="13">
        <v>8.3</v>
      </c>
      <c r="P217" s="13">
        <v>5.6</v>
      </c>
      <c r="Q217" s="13">
        <v>3.7</v>
      </c>
      <c r="R217" s="13">
        <v>0.1</v>
      </c>
      <c r="S217" s="61" t="s">
        <v>659</v>
      </c>
      <c r="T217" t="str">
        <f>_xlfn.DISPIMG("ID_8594350670894A83994259256103CCA3",1)</f>
        <v>=DISPIMG("ID_8594350670894A83994259256103CCA3",1)</v>
      </c>
      <c r="U217" s="66" t="s">
        <v>623</v>
      </c>
      <c r="V217" s="82" t="s">
        <v>29</v>
      </c>
      <c r="W217" s="52" t="s">
        <v>660</v>
      </c>
    </row>
    <row r="218" customHeight="1" spans="1:23">
      <c r="A218" s="3" t="s">
        <v>661</v>
      </c>
      <c r="B218" s="4">
        <v>8952235.76</v>
      </c>
      <c r="C218" s="4">
        <v>8323273.29</v>
      </c>
      <c r="D218" s="4">
        <f>AVERAGE(O218:Q218)</f>
        <v>6.36666666666667</v>
      </c>
      <c r="E218" s="4">
        <f>R218</f>
        <v>0.5</v>
      </c>
      <c r="F218" s="4">
        <f>(C218-B218*(1-0.01*D218)*E218)/(B218*(1-E218))</f>
        <v>0.923151495515723</v>
      </c>
      <c r="G218" s="4">
        <f>100-100*F218</f>
        <v>7.68485044842771</v>
      </c>
      <c r="H218" s="4">
        <v>8323341.19</v>
      </c>
      <c r="I218" s="4">
        <f>100-100*H218/B218</f>
        <v>7.0250000877993</v>
      </c>
      <c r="L218" s="7">
        <v>44700.375</v>
      </c>
      <c r="M218" s="8">
        <v>110</v>
      </c>
      <c r="N218" s="13">
        <v>4</v>
      </c>
      <c r="O218" s="13">
        <v>11.7</v>
      </c>
      <c r="P218" s="13">
        <v>6.2</v>
      </c>
      <c r="Q218" s="13">
        <v>1.2</v>
      </c>
      <c r="R218" s="13">
        <v>0.5</v>
      </c>
      <c r="S218" s="61" t="s">
        <v>662</v>
      </c>
      <c r="T218" t="str">
        <f>_xlfn.DISPIMG("ID_8594350670894A83994259256103CCA3",1)</f>
        <v>=DISPIMG("ID_8594350670894A83994259256103CCA3",1)</v>
      </c>
      <c r="U218" s="66" t="s">
        <v>623</v>
      </c>
      <c r="V218" s="82" t="s">
        <v>29</v>
      </c>
      <c r="W218" s="60" t="s">
        <v>663</v>
      </c>
    </row>
    <row r="219" customHeight="1" spans="1:23">
      <c r="A219" s="3" t="s">
        <v>664</v>
      </c>
      <c r="B219" s="4">
        <v>7060539.3</v>
      </c>
      <c r="C219" s="4">
        <v>6594775.8</v>
      </c>
      <c r="D219" s="4">
        <f>AVERAGE(O219:Q219)</f>
        <v>6.06666666666667</v>
      </c>
      <c r="E219" s="4">
        <f>R219</f>
        <v>0.5</v>
      </c>
      <c r="F219" s="4">
        <f>(C219-B219*(1-0.01*D219)*E219)/(B219*(1-E219))</f>
        <v>0.928732410596454</v>
      </c>
      <c r="G219" s="4">
        <f>100-100*F219</f>
        <v>7.12675894035459</v>
      </c>
      <c r="H219" s="4">
        <v>6595744</v>
      </c>
      <c r="I219" s="4">
        <f>100-100*H219/B219</f>
        <v>6.58299996998812</v>
      </c>
      <c r="K219" s="4">
        <v>7.66</v>
      </c>
      <c r="L219" s="7">
        <v>44701.375</v>
      </c>
      <c r="M219" s="8">
        <v>124</v>
      </c>
      <c r="N219" s="13">
        <v>2</v>
      </c>
      <c r="O219" s="123">
        <v>9</v>
      </c>
      <c r="P219" s="13">
        <v>0.9</v>
      </c>
      <c r="Q219" s="13">
        <v>8.3</v>
      </c>
      <c r="R219" s="13">
        <v>0.5</v>
      </c>
      <c r="S219" s="61" t="s">
        <v>665</v>
      </c>
      <c r="T219" t="str">
        <f>_xlfn.DISPIMG("ID_8594350670894A83994259256103CCA3",1)</f>
        <v>=DISPIMG("ID_8594350670894A83994259256103CCA3",1)</v>
      </c>
      <c r="U219" s="66" t="s">
        <v>623</v>
      </c>
      <c r="V219" s="82" t="s">
        <v>29</v>
      </c>
      <c r="W219" s="60" t="s">
        <v>666</v>
      </c>
    </row>
    <row r="220" customHeight="1" spans="1:24">
      <c r="A220" s="3" t="s">
        <v>667</v>
      </c>
      <c r="B220" s="4">
        <v>2963871.3</v>
      </c>
      <c r="C220" s="4"/>
      <c r="D220" s="4">
        <v>101</v>
      </c>
      <c r="E220" s="4"/>
      <c r="F220" s="4"/>
      <c r="G220" s="4"/>
      <c r="H220" s="4">
        <v>2747985.88</v>
      </c>
      <c r="I220" s="4">
        <f>100-100*H220/B220</f>
        <v>7.28389994531813</v>
      </c>
      <c r="K220" s="4">
        <v>7.6</v>
      </c>
      <c r="L220" s="7">
        <v>44701.3958333333</v>
      </c>
      <c r="M220" s="8">
        <v>177</v>
      </c>
      <c r="N220"/>
      <c r="O220"/>
      <c r="P220"/>
      <c r="Q220"/>
      <c r="R220"/>
      <c r="S220" t="s">
        <v>668</v>
      </c>
      <c r="T220" t="str">
        <f>_xlfn.DISPIMG("ID_A5C5C48DA77F4825959FA26444F402F2",1)</f>
        <v>=DISPIMG("ID_A5C5C48DA77F4825959FA26444F402F2",1)</v>
      </c>
      <c r="U220" t="s">
        <v>162</v>
      </c>
      <c r="V220" s="29" t="s">
        <v>645</v>
      </c>
      <c r="W220" s="20"/>
      <c r="X220"/>
    </row>
    <row r="221" customHeight="1" spans="1:23">
      <c r="A221" s="3" t="s">
        <v>669</v>
      </c>
      <c r="B221" s="4">
        <v>12837438.74</v>
      </c>
      <c r="C221" s="4">
        <v>11617133.05</v>
      </c>
      <c r="D221" s="4">
        <f>AVERAGE(O221:Q221)</f>
        <v>9.73333333333333</v>
      </c>
      <c r="E221" s="4">
        <f>R221</f>
        <v>0.9</v>
      </c>
      <c r="F221" s="4">
        <f>(C221-B221*(1-0.01*D221)*E221)/(B221*(1-E221))</f>
        <v>0.925416542726965</v>
      </c>
      <c r="G221" s="4">
        <f>100-100*F221</f>
        <v>7.45834572730347</v>
      </c>
      <c r="H221" s="4">
        <v>11617882.06</v>
      </c>
      <c r="I221" s="4">
        <f>100-100*H221/B221</f>
        <v>9.49999999766308</v>
      </c>
      <c r="K221" s="4">
        <v>5.88</v>
      </c>
      <c r="L221" s="7">
        <v>44701.3958333333</v>
      </c>
      <c r="M221" s="8">
        <v>116</v>
      </c>
      <c r="N221" s="13">
        <v>2</v>
      </c>
      <c r="O221" s="123">
        <v>9</v>
      </c>
      <c r="P221" s="13">
        <v>8.3</v>
      </c>
      <c r="Q221" s="13">
        <v>11.9</v>
      </c>
      <c r="R221" s="13">
        <v>0.9</v>
      </c>
      <c r="S221" s="61" t="s">
        <v>670</v>
      </c>
      <c r="T221" t="str">
        <f>_xlfn.DISPIMG("ID_8594350670894A83994259256103CCA3",1)</f>
        <v>=DISPIMG("ID_8594350670894A83994259256103CCA3",1)</v>
      </c>
      <c r="U221" s="66" t="s">
        <v>623</v>
      </c>
      <c r="V221" s="82" t="s">
        <v>29</v>
      </c>
      <c r="W221" s="60" t="s">
        <v>671</v>
      </c>
    </row>
    <row r="222" customHeight="1" spans="1:24">
      <c r="A222" s="3" t="s">
        <v>672</v>
      </c>
      <c r="B222" s="4">
        <v>4725164.62</v>
      </c>
      <c r="D222" s="4">
        <f>AVERAGE(O222:Q222)</f>
        <v>3</v>
      </c>
      <c r="E222" s="4">
        <f>R222</f>
        <v>0.1</v>
      </c>
      <c r="H222" s="4">
        <v>4416327.86</v>
      </c>
      <c r="I222" s="4">
        <f>100-100*H222/B222</f>
        <v>6.53600000924411</v>
      </c>
      <c r="K222" s="4">
        <v>9.2</v>
      </c>
      <c r="L222" s="7">
        <v>44701.3958333333</v>
      </c>
      <c r="M222" s="8">
        <v>111</v>
      </c>
      <c r="N222">
        <v>1</v>
      </c>
      <c r="O222">
        <v>5.8</v>
      </c>
      <c r="P222">
        <v>0.5</v>
      </c>
      <c r="Q222">
        <v>2.7</v>
      </c>
      <c r="R222">
        <v>0.1</v>
      </c>
      <c r="S222" s="35" t="s">
        <v>673</v>
      </c>
      <c r="T222" t="str">
        <f>_xlfn.DISPIMG("ID_8594350670894A83994259256103CCA3",1)</f>
        <v>=DISPIMG("ID_8594350670894A83994259256103CCA3",1)</v>
      </c>
      <c r="U222" s="120" t="s">
        <v>623</v>
      </c>
      <c r="V222" s="82" t="s">
        <v>29</v>
      </c>
      <c r="W222" s="92" t="s">
        <v>674</v>
      </c>
      <c r="X222"/>
    </row>
    <row r="223" customHeight="1" spans="1:24">
      <c r="A223" s="3" t="s">
        <v>675</v>
      </c>
      <c r="B223" s="4">
        <v>14271322.35</v>
      </c>
      <c r="C223" s="4"/>
      <c r="D223" s="4">
        <f>AVERAGE(O223:Q223)</f>
        <v>4.1</v>
      </c>
      <c r="E223" s="4">
        <f>R223</f>
        <v>0.1</v>
      </c>
      <c r="H223" s="4">
        <v>13342915.56</v>
      </c>
      <c r="I223" s="4">
        <f>100-100*H223/B223</f>
        <v>6.5054013022136</v>
      </c>
      <c r="K223" s="4">
        <v>6.8</v>
      </c>
      <c r="L223" s="7">
        <v>44711.3958333333</v>
      </c>
      <c r="M223" s="8">
        <v>131</v>
      </c>
      <c r="N223">
        <v>3</v>
      </c>
      <c r="O223">
        <v>7.6</v>
      </c>
      <c r="P223">
        <v>0.7</v>
      </c>
      <c r="Q223">
        <v>4</v>
      </c>
      <c r="R223">
        <v>0.1</v>
      </c>
      <c r="S223" s="35" t="s">
        <v>676</v>
      </c>
      <c r="T223" t="str">
        <f>_xlfn.DISPIMG("ID_8594350670894A83994259256103CCA3",1)</f>
        <v>=DISPIMG("ID_8594350670894A83994259256103CCA3",1)</v>
      </c>
      <c r="U223" s="120" t="s">
        <v>623</v>
      </c>
      <c r="V223" s="82" t="s">
        <v>29</v>
      </c>
      <c r="W223" s="82" t="s">
        <v>677</v>
      </c>
      <c r="X223"/>
    </row>
    <row r="224" customHeight="1" spans="1:24">
      <c r="A224" s="117" t="s">
        <v>678</v>
      </c>
      <c r="B224" s="4">
        <v>24908800</v>
      </c>
      <c r="C224" s="4"/>
      <c r="D224" s="4">
        <v>99.6</v>
      </c>
      <c r="E224" s="4"/>
      <c r="F224" s="4">
        <f>H224/B224/(D224*0.01)</f>
        <v>0.952811236918383</v>
      </c>
      <c r="G224" s="4">
        <f>100-100*F224</f>
        <v>4.71887630816174</v>
      </c>
      <c r="H224" s="4">
        <v>23638451</v>
      </c>
      <c r="I224" s="4">
        <f>100-100*H224/B224</f>
        <v>5.10000080292909</v>
      </c>
      <c r="K224" s="4">
        <v>5.64</v>
      </c>
      <c r="L224" s="7">
        <v>44712.3958333333</v>
      </c>
      <c r="M224" s="8">
        <v>6</v>
      </c>
      <c r="N224"/>
      <c r="O224"/>
      <c r="P224"/>
      <c r="Q224"/>
      <c r="R224"/>
      <c r="S224" s="35" t="s">
        <v>679</v>
      </c>
      <c r="T224" t="str">
        <f>_xlfn.DISPIMG("ID_A8CF580EBC2A49AE915DAA560CE19244",1)</f>
        <v>=DISPIMG("ID_A8CF580EBC2A49AE915DAA560CE19244",1)</v>
      </c>
      <c r="U224" s="120" t="s">
        <v>26</v>
      </c>
      <c r="V224" s="82" t="s">
        <v>29</v>
      </c>
      <c r="W224" s="93" t="s">
        <v>680</v>
      </c>
      <c r="X224"/>
    </row>
    <row r="225" customHeight="1" spans="1:24">
      <c r="A225" s="117" t="s">
        <v>681</v>
      </c>
      <c r="B225" s="4">
        <v>8650046.69</v>
      </c>
      <c r="C225" s="4"/>
      <c r="D225" s="4">
        <v>102</v>
      </c>
      <c r="E225" s="4"/>
      <c r="F225" s="4"/>
      <c r="G225" s="4"/>
      <c r="H225" s="4">
        <v>8022053.3</v>
      </c>
      <c r="I225" s="4">
        <f>100-100*H225/B225</f>
        <v>7.26000000353754</v>
      </c>
      <c r="K225" s="4">
        <v>6.6</v>
      </c>
      <c r="L225" s="7">
        <v>44713.3958333333</v>
      </c>
      <c r="M225" s="8">
        <v>773</v>
      </c>
      <c r="N225"/>
      <c r="O225"/>
      <c r="P225"/>
      <c r="Q225"/>
      <c r="R225"/>
      <c r="S225" t="s">
        <v>682</v>
      </c>
      <c r="T225" t="str">
        <f>_xlfn.DISPIMG("ID_A5C5C48DA77F4825959FA26444F402F2",1)</f>
        <v>=DISPIMG("ID_A5C5C48DA77F4825959FA26444F402F2",1)</v>
      </c>
      <c r="U225" t="s">
        <v>162</v>
      </c>
      <c r="V225" s="5" t="s">
        <v>539</v>
      </c>
      <c r="W225" s="20"/>
      <c r="X225"/>
    </row>
    <row r="226" customHeight="1" spans="1:24">
      <c r="A226" s="3" t="s">
        <v>683</v>
      </c>
      <c r="B226" s="4">
        <v>6185385.62</v>
      </c>
      <c r="C226" s="4"/>
      <c r="D226" s="4">
        <f>AVERAGE(O226:Q226)</f>
        <v>5.36666666666667</v>
      </c>
      <c r="E226" s="4">
        <v>0.1</v>
      </c>
      <c r="F226" s="4"/>
      <c r="G226" s="4"/>
      <c r="H226" s="4">
        <v>5866977.74</v>
      </c>
      <c r="I226" s="4">
        <f>100-100*H226/B226</f>
        <v>5.14774501642147</v>
      </c>
      <c r="K226" s="4">
        <v>5.3</v>
      </c>
      <c r="L226" s="7">
        <v>44719.3958333333</v>
      </c>
      <c r="M226" s="8">
        <v>111</v>
      </c>
      <c r="N226" s="111">
        <v>2</v>
      </c>
      <c r="O226" s="111">
        <v>0.7</v>
      </c>
      <c r="P226" s="111">
        <v>9.1</v>
      </c>
      <c r="Q226" s="111">
        <v>6.3</v>
      </c>
      <c r="R226" s="111">
        <v>0.1</v>
      </c>
      <c r="S226" s="35" t="s">
        <v>684</v>
      </c>
      <c r="T226" t="str">
        <f>_xlfn.DISPIMG("ID_39A08211ED6A4076AB89912F4CD96E32",1)</f>
        <v>=DISPIMG("ID_39A08211ED6A4076AB89912F4CD96E32",1)</v>
      </c>
      <c r="U226" s="120" t="s">
        <v>426</v>
      </c>
      <c r="V226" s="86" t="s">
        <v>59</v>
      </c>
      <c r="W226" s="5" t="s">
        <v>685</v>
      </c>
      <c r="X226"/>
    </row>
    <row r="227" customHeight="1" spans="1:23">
      <c r="A227" s="117" t="s">
        <v>686</v>
      </c>
      <c r="B227" s="4">
        <v>8446402.66</v>
      </c>
      <c r="C227" s="4">
        <v>7923491.19</v>
      </c>
      <c r="D227" s="4">
        <f>AVERAGE(O227:Q227)</f>
        <v>6.46666666666667</v>
      </c>
      <c r="E227" s="4">
        <v>0.1</v>
      </c>
      <c r="F227" s="4">
        <f>(C227-B227*(1-0.01*D227)*E227)/(B227*(1-E227))</f>
        <v>0.938396995960443</v>
      </c>
      <c r="G227" s="4">
        <f>100-100*F227</f>
        <v>6.16030040395569</v>
      </c>
      <c r="H227" s="4">
        <v>7923125.38</v>
      </c>
      <c r="I227" s="4">
        <f>100-100*H227/B227</f>
        <v>6.19526798643057</v>
      </c>
      <c r="K227" s="4">
        <v>0.7</v>
      </c>
      <c r="L227" s="7">
        <v>44720.375</v>
      </c>
      <c r="M227" s="8">
        <v>123</v>
      </c>
      <c r="N227" s="112">
        <v>2</v>
      </c>
      <c r="O227" s="112">
        <v>9.7</v>
      </c>
      <c r="P227" s="112">
        <v>6.1</v>
      </c>
      <c r="Q227" s="112">
        <v>3.6</v>
      </c>
      <c r="R227" s="112">
        <v>0.1</v>
      </c>
      <c r="S227" s="61" t="s">
        <v>687</v>
      </c>
      <c r="T227" s="13" t="str">
        <f>_xlfn.DISPIMG("ID_544CDD7781C04FFCBCEC3D98EB86447F",1)</f>
        <v>=DISPIMG("ID_544CDD7781C04FFCBCEC3D98EB86447F",1)</v>
      </c>
      <c r="U227" s="66" t="s">
        <v>688</v>
      </c>
      <c r="V227" s="86" t="s">
        <v>59</v>
      </c>
      <c r="W227" s="55" t="s">
        <v>689</v>
      </c>
    </row>
    <row r="228" customHeight="1" spans="1:24">
      <c r="A228" s="3" t="s">
        <v>690</v>
      </c>
      <c r="B228" s="4">
        <v>10429927.09</v>
      </c>
      <c r="D228" s="4">
        <v>102</v>
      </c>
      <c r="E228" s="4"/>
      <c r="H228" s="4">
        <v>9766118.47</v>
      </c>
      <c r="I228" s="4">
        <f>100-100*H228/B228</f>
        <v>6.3644607893419</v>
      </c>
      <c r="K228" s="4">
        <v>6.2</v>
      </c>
      <c r="L228" s="7">
        <v>44722.375</v>
      </c>
      <c r="M228" s="8">
        <v>865</v>
      </c>
      <c r="N228"/>
      <c r="O228"/>
      <c r="P228"/>
      <c r="Q228"/>
      <c r="R228"/>
      <c r="S228" t="s">
        <v>691</v>
      </c>
      <c r="T228" t="str">
        <f>_xlfn.DISPIMG("ID_B45AC5B0931F41358AA01BD5585B5788",1)</f>
        <v>=DISPIMG("ID_B45AC5B0931F41358AA01BD5585B5788",1)</v>
      </c>
      <c r="U228" t="s">
        <v>119</v>
      </c>
      <c r="V228" s="5" t="s">
        <v>539</v>
      </c>
      <c r="W228" s="20"/>
      <c r="X228"/>
    </row>
    <row r="229" customHeight="1" spans="1:24">
      <c r="A229" s="3" t="s">
        <v>692</v>
      </c>
      <c r="B229" s="4">
        <v>1915946.64</v>
      </c>
      <c r="C229" s="4"/>
      <c r="D229" s="4">
        <f>AVERAGE(O229:Q229)</f>
        <v>8.86666666666667</v>
      </c>
      <c r="E229" s="4">
        <f>R229</f>
        <v>0.1</v>
      </c>
      <c r="H229" s="4">
        <v>1775699.36</v>
      </c>
      <c r="I229" s="4">
        <f>100-100*H229/B229</f>
        <v>7.31999926678542</v>
      </c>
      <c r="K229" s="4">
        <v>9.5</v>
      </c>
      <c r="L229" s="7">
        <v>44722.4166666667</v>
      </c>
      <c r="M229" s="8">
        <v>114</v>
      </c>
      <c r="N229">
        <v>1</v>
      </c>
      <c r="O229">
        <v>4.2</v>
      </c>
      <c r="P229">
        <v>9.9</v>
      </c>
      <c r="Q229">
        <v>12.5</v>
      </c>
      <c r="R229">
        <v>0.1</v>
      </c>
      <c r="S229" t="s">
        <v>693</v>
      </c>
      <c r="T229" t="str">
        <f>_xlfn.DISPIMG("ID_8594350670894A83994259256103CCA3",1)</f>
        <v>=DISPIMG("ID_8594350670894A83994259256103CCA3",1)</v>
      </c>
      <c r="U229" s="120" t="s">
        <v>623</v>
      </c>
      <c r="V229" s="82" t="s">
        <v>29</v>
      </c>
      <c r="W229" s="92" t="s">
        <v>694</v>
      </c>
      <c r="X229"/>
    </row>
    <row r="230" customHeight="1" spans="1:24">
      <c r="A230" s="3" t="s">
        <v>695</v>
      </c>
      <c r="B230" s="4">
        <v>10436795.81</v>
      </c>
      <c r="C230" s="4"/>
      <c r="D230" s="4">
        <f>AVERAGE(O230:Q230)</f>
        <v>8.3</v>
      </c>
      <c r="E230" s="4">
        <v>0.1</v>
      </c>
      <c r="F230" s="4"/>
      <c r="G230" s="4"/>
      <c r="H230" s="4">
        <v>9701732.28</v>
      </c>
      <c r="I230" s="4">
        <f>100-100*H230/B230</f>
        <v>7.04300001055594</v>
      </c>
      <c r="K230" s="4">
        <v>6.5</v>
      </c>
      <c r="L230" s="7">
        <v>44726.375</v>
      </c>
      <c r="M230" s="8">
        <v>129</v>
      </c>
      <c r="N230">
        <v>4</v>
      </c>
      <c r="O230">
        <v>3.6</v>
      </c>
      <c r="P230">
        <v>6.3</v>
      </c>
      <c r="Q230">
        <v>15</v>
      </c>
      <c r="R230">
        <v>0.1</v>
      </c>
      <c r="S230" s="35" t="s">
        <v>696</v>
      </c>
      <c r="T230" t="str">
        <f>_xlfn.DISPIMG("ID_8594350670894A83994259256103CCA3",1)</f>
        <v>=DISPIMG("ID_8594350670894A83994259256103CCA3",1)</v>
      </c>
      <c r="U230" s="120" t="s">
        <v>623</v>
      </c>
      <c r="V230" s="82" t="s">
        <v>29</v>
      </c>
      <c r="W230" s="87" t="s">
        <v>697</v>
      </c>
      <c r="X230"/>
    </row>
    <row r="231" customHeight="1" spans="1:24">
      <c r="A231" s="3" t="s">
        <v>698</v>
      </c>
      <c r="B231" s="4">
        <v>10196443.51</v>
      </c>
      <c r="D231" s="4">
        <f>AVERAGE(O231:Q231)</f>
        <v>8.83333333333333</v>
      </c>
      <c r="E231" s="4">
        <f>R231</f>
        <v>0.1</v>
      </c>
      <c r="H231" s="4">
        <v>9480082.16</v>
      </c>
      <c r="I231" s="4">
        <f>100-100*H231/B231</f>
        <v>7.02560014477048</v>
      </c>
      <c r="K231" s="4">
        <v>10.3</v>
      </c>
      <c r="L231" s="7">
        <v>44727.375</v>
      </c>
      <c r="M231" s="8">
        <v>126</v>
      </c>
      <c r="N231">
        <v>4</v>
      </c>
      <c r="O231">
        <v>7.9</v>
      </c>
      <c r="P231">
        <v>13.9</v>
      </c>
      <c r="Q231">
        <v>4.7</v>
      </c>
      <c r="R231">
        <v>0.1</v>
      </c>
      <c r="S231" t="s">
        <v>699</v>
      </c>
      <c r="T231" t="str">
        <f>_xlfn.DISPIMG("ID_8594350670894A83994259256103CCA3",1)</f>
        <v>=DISPIMG("ID_8594350670894A83994259256103CCA3",1)</v>
      </c>
      <c r="U231" s="120" t="s">
        <v>623</v>
      </c>
      <c r="V231" s="82" t="s">
        <v>29</v>
      </c>
      <c r="W231" s="92" t="s">
        <v>700</v>
      </c>
      <c r="X231"/>
    </row>
    <row r="232" customHeight="1" spans="1:24">
      <c r="A232" s="3" t="s">
        <v>701</v>
      </c>
      <c r="B232" s="4">
        <v>33263202.3</v>
      </c>
      <c r="D232" s="4">
        <f>AVERAGE(O232:Q232)</f>
        <v>7.86666666666667</v>
      </c>
      <c r="H232" s="4">
        <v>30603475.71</v>
      </c>
      <c r="I232" s="4">
        <f>100-100*H232/B232</f>
        <v>7.99600280818423</v>
      </c>
      <c r="K232" s="4">
        <v>4.8</v>
      </c>
      <c r="L232" s="7">
        <v>44727.375</v>
      </c>
      <c r="M232" s="8">
        <v>35</v>
      </c>
      <c r="N232">
        <v>2</v>
      </c>
      <c r="O232">
        <v>0.9</v>
      </c>
      <c r="P232">
        <v>14.4</v>
      </c>
      <c r="Q232">
        <v>8.3</v>
      </c>
      <c r="R232"/>
      <c r="S232" s="35" t="s">
        <v>702</v>
      </c>
      <c r="T232" t="str">
        <f>_xlfn.DISPIMG("ID_8594350670894A83994259256103CCA3",1)</f>
        <v>=DISPIMG("ID_8594350670894A83994259256103CCA3",1)</v>
      </c>
      <c r="U232" s="120" t="s">
        <v>623</v>
      </c>
      <c r="V232" s="82" t="s">
        <v>29</v>
      </c>
      <c r="W232" s="86" t="s">
        <v>703</v>
      </c>
      <c r="X232"/>
    </row>
    <row r="233" customHeight="1" spans="1:24">
      <c r="A233" s="3" t="s">
        <v>704</v>
      </c>
      <c r="B233" s="4">
        <v>32292423.4</v>
      </c>
      <c r="C233" s="4"/>
      <c r="D233" s="4">
        <v>0.4</v>
      </c>
      <c r="E233" s="4"/>
      <c r="F233" s="4">
        <f>(H233/B233-D233)/(1-D233)</f>
        <v>0.977439762748393</v>
      </c>
      <c r="G233" s="4">
        <f>100-100*F233</f>
        <v>2.25602372516067</v>
      </c>
      <c r="H233" s="4">
        <v>31855308.56</v>
      </c>
      <c r="I233" s="4">
        <f>100-100*H233/B233</f>
        <v>1.35361423509639</v>
      </c>
      <c r="K233" s="4">
        <v>7.8</v>
      </c>
      <c r="L233" s="7">
        <v>44727.3958333333</v>
      </c>
      <c r="M233" s="8">
        <v>86</v>
      </c>
      <c r="N233"/>
      <c r="O233"/>
      <c r="P233"/>
      <c r="Q233"/>
      <c r="R233"/>
      <c r="S233" t="s">
        <v>705</v>
      </c>
      <c r="T233" t="str">
        <f>_xlfn.DISPIMG("ID_C8E10289BF754CA8AF0D60A0AE6B3660",1)</f>
        <v>=DISPIMG("ID_C8E10289BF754CA8AF0D60A0AE6B3660",1)</v>
      </c>
      <c r="U233" s="13" t="s">
        <v>706</v>
      </c>
      <c r="V233" s="5" t="s">
        <v>581</v>
      </c>
      <c r="W233" s="20" t="s">
        <v>707</v>
      </c>
      <c r="X233"/>
    </row>
    <row r="234" customHeight="1" spans="1:24">
      <c r="A234" s="3" t="s">
        <v>708</v>
      </c>
      <c r="B234" s="4">
        <v>34205833.17</v>
      </c>
      <c r="C234" s="4"/>
      <c r="D234" s="4">
        <f>AVERAGE(O234:Q234)</f>
        <v>5.06666666666667</v>
      </c>
      <c r="E234" s="4">
        <f>R234</f>
        <v>0.1</v>
      </c>
      <c r="H234" s="4">
        <v>30453453.1</v>
      </c>
      <c r="I234" s="4">
        <f>100-100*H234/B234</f>
        <v>10.9700005006485</v>
      </c>
      <c r="K234" s="4">
        <v>7</v>
      </c>
      <c r="L234" s="7">
        <v>44728.375</v>
      </c>
      <c r="M234" s="8">
        <v>62</v>
      </c>
      <c r="N234">
        <v>2</v>
      </c>
      <c r="O234">
        <v>2.4</v>
      </c>
      <c r="P234">
        <v>0.9</v>
      </c>
      <c r="Q234">
        <v>11.9</v>
      </c>
      <c r="R234">
        <v>0.1</v>
      </c>
      <c r="S234" t="s">
        <v>709</v>
      </c>
      <c r="T234" t="str">
        <f>_xlfn.DISPIMG("ID_8594350670894A83994259256103CCA3",1)</f>
        <v>=DISPIMG("ID_8594350670894A83994259256103CCA3",1)</v>
      </c>
      <c r="U234" s="120" t="s">
        <v>623</v>
      </c>
      <c r="V234" s="82" t="s">
        <v>29</v>
      </c>
      <c r="W234" s="86" t="s">
        <v>703</v>
      </c>
      <c r="X234"/>
    </row>
    <row r="235" customHeight="1" spans="1:24">
      <c r="A235" s="3" t="s">
        <v>710</v>
      </c>
      <c r="B235" s="4">
        <v>32709519.64</v>
      </c>
      <c r="C235" s="4"/>
      <c r="D235" s="4">
        <f>AVERAGE(O235:Q235)</f>
        <v>6.06666666666667</v>
      </c>
      <c r="H235" s="4">
        <v>30685454.56</v>
      </c>
      <c r="I235" s="4">
        <f>100-100*H235/B235</f>
        <v>6.18800001429798</v>
      </c>
      <c r="K235" s="4">
        <v>7.46</v>
      </c>
      <c r="L235" s="7">
        <v>44728.375</v>
      </c>
      <c r="M235" s="8">
        <v>33</v>
      </c>
      <c r="N235">
        <v>1</v>
      </c>
      <c r="O235">
        <v>11.3</v>
      </c>
      <c r="P235">
        <v>4.2</v>
      </c>
      <c r="Q235">
        <v>2.7</v>
      </c>
      <c r="R235"/>
      <c r="S235" s="35" t="s">
        <v>711</v>
      </c>
      <c r="T235" t="str">
        <f>_xlfn.DISPIMG("ID_8594350670894A83994259256103CCA3",1)</f>
        <v>=DISPIMG("ID_8594350670894A83994259256103CCA3",1)</v>
      </c>
      <c r="U235" s="120" t="s">
        <v>623</v>
      </c>
      <c r="V235" s="82" t="s">
        <v>29</v>
      </c>
      <c r="W235" s="86" t="s">
        <v>712</v>
      </c>
      <c r="X235"/>
    </row>
    <row r="236" customHeight="1" spans="1:23">
      <c r="A236" s="117" t="s">
        <v>713</v>
      </c>
      <c r="B236" s="4">
        <v>16237336.07</v>
      </c>
      <c r="C236" s="4">
        <v>14320836.64</v>
      </c>
      <c r="D236" s="4">
        <f>AVERAGE(O236:Q236)</f>
        <v>11.3333333333333</v>
      </c>
      <c r="E236" s="4">
        <f>R236</f>
        <v>0.5</v>
      </c>
      <c r="F236" s="4">
        <f>(C236-B236*(1-0.01*D236)*E236)/(B236*(1-E236))</f>
        <v>0.877272513782901</v>
      </c>
      <c r="G236" s="4">
        <f>100-100*F236</f>
        <v>12.2727486217099</v>
      </c>
      <c r="H236" s="4">
        <v>14319544.18</v>
      </c>
      <c r="I236" s="4">
        <f>100-100*H236/B236</f>
        <v>11.8110007807457</v>
      </c>
      <c r="K236" s="4">
        <v>6.8</v>
      </c>
      <c r="L236" s="7">
        <v>44733.4583333333</v>
      </c>
      <c r="M236" s="8">
        <v>130</v>
      </c>
      <c r="N236" s="13">
        <v>1</v>
      </c>
      <c r="O236" s="13">
        <v>11</v>
      </c>
      <c r="P236" s="13">
        <v>13</v>
      </c>
      <c r="Q236" s="13">
        <v>10</v>
      </c>
      <c r="R236" s="13">
        <v>0.5</v>
      </c>
      <c r="S236" s="64" t="s">
        <v>714</v>
      </c>
      <c r="T236" s="13" t="str">
        <f>_xlfn.DISPIMG("ID_9BE6A68DE9864E859F85E2B55345DA88",1)</f>
        <v>=DISPIMG("ID_9BE6A68DE9864E859F85E2B55345DA88",1)</v>
      </c>
      <c r="U236" s="66" t="s">
        <v>715</v>
      </c>
      <c r="V236" s="82" t="s">
        <v>29</v>
      </c>
      <c r="W236" s="60" t="s">
        <v>716</v>
      </c>
    </row>
    <row r="237" customHeight="1" spans="1:24">
      <c r="A237" s="3" t="s">
        <v>717</v>
      </c>
      <c r="B237" s="4">
        <v>8267387.08</v>
      </c>
      <c r="C237" s="4"/>
      <c r="D237" s="4">
        <v>0.3</v>
      </c>
      <c r="E237" s="4"/>
      <c r="F237" s="4">
        <f>(H237/B237-D237)/(1-D237)</f>
        <v>0.919238572084097</v>
      </c>
      <c r="G237" s="4">
        <f>100-100*F237</f>
        <v>8.07614279159027</v>
      </c>
      <c r="H237" s="4">
        <v>7800006.89</v>
      </c>
      <c r="I237" s="4">
        <f>100-100*H237/B237</f>
        <v>5.65329995411319</v>
      </c>
      <c r="K237" s="4">
        <v>2.66</v>
      </c>
      <c r="L237" s="7">
        <v>44736.375</v>
      </c>
      <c r="M237" s="8">
        <v>60</v>
      </c>
      <c r="N237"/>
      <c r="O237"/>
      <c r="P237"/>
      <c r="Q237"/>
      <c r="R237"/>
      <c r="S237" t="s">
        <v>718</v>
      </c>
      <c r="T237" s="13" t="str">
        <f>_xlfn.DISPIMG("ID_5C1B5B8EA2164BF49185CA64500D4BE4",1)</f>
        <v>=DISPIMG("ID_5C1B5B8EA2164BF49185CA64500D4BE4",1)</v>
      </c>
      <c r="U237" s="13" t="s">
        <v>189</v>
      </c>
      <c r="V237" s="5" t="s">
        <v>581</v>
      </c>
      <c r="W237" s="5" t="s">
        <v>719</v>
      </c>
      <c r="X237"/>
    </row>
    <row r="238" customHeight="1" spans="1:24">
      <c r="A238" s="3" t="s">
        <v>720</v>
      </c>
      <c r="B238" s="4">
        <v>7427581.18</v>
      </c>
      <c r="C238" s="4"/>
      <c r="D238" s="4">
        <v>0.3</v>
      </c>
      <c r="E238" s="4"/>
      <c r="F238" s="4">
        <f>(H238/B238-D238)/(1-D238)</f>
        <v>0.952571427643613</v>
      </c>
      <c r="G238" s="4">
        <f>100-100*F238</f>
        <v>4.74285723563872</v>
      </c>
      <c r="H238" s="4">
        <v>7180985.48</v>
      </c>
      <c r="I238" s="4">
        <f>100-100*H238/B238</f>
        <v>3.32000006494711</v>
      </c>
      <c r="K238" s="4">
        <v>1.5</v>
      </c>
      <c r="L238" s="7">
        <v>44742.375</v>
      </c>
      <c r="M238" s="8">
        <v>62</v>
      </c>
      <c r="N238"/>
      <c r="O238"/>
      <c r="P238"/>
      <c r="Q238"/>
      <c r="R238"/>
      <c r="S238" t="s">
        <v>721</v>
      </c>
      <c r="T238" s="13" t="str">
        <f>_xlfn.DISPIMG("ID_5C1B5B8EA2164BF49185CA64500D4BE4",1)</f>
        <v>=DISPIMG("ID_5C1B5B8EA2164BF49185CA64500D4BE4",1)</v>
      </c>
      <c r="U238" s="13" t="s">
        <v>189</v>
      </c>
      <c r="V238" s="5" t="s">
        <v>581</v>
      </c>
      <c r="W238" s="36" t="s">
        <v>722</v>
      </c>
      <c r="X238"/>
    </row>
    <row r="239" customHeight="1" spans="1:24">
      <c r="A239" s="3" t="s">
        <v>723</v>
      </c>
      <c r="B239" s="4">
        <v>64401535.18</v>
      </c>
      <c r="C239" s="4"/>
      <c r="D239" s="4"/>
      <c r="E239" s="4"/>
      <c r="F239" s="4"/>
      <c r="G239" s="4"/>
      <c r="H239" s="4">
        <v>61013370.41</v>
      </c>
      <c r="I239" s="4">
        <f>100-100*H239/B239</f>
        <v>5.26100000649083</v>
      </c>
      <c r="K239" s="4">
        <v>5.2</v>
      </c>
      <c r="L239" s="7">
        <v>44742.4375</v>
      </c>
      <c r="M239" s="8">
        <v>121</v>
      </c>
      <c r="N239" s="111"/>
      <c r="O239" s="111"/>
      <c r="P239" s="111"/>
      <c r="Q239" s="111"/>
      <c r="R239" s="111"/>
      <c r="S239" s="35" t="s">
        <v>724</v>
      </c>
      <c r="T239" t="str">
        <f>_xlfn.DISPIMG("ID_39A08211ED6A4076AB89912F4CD96E32",1)</f>
        <v>=DISPIMG("ID_39A08211ED6A4076AB89912F4CD96E32",1)</v>
      </c>
      <c r="U239" s="120" t="s">
        <v>426</v>
      </c>
      <c r="V239" s="86" t="s">
        <v>59</v>
      </c>
      <c r="W239" t="s">
        <v>725</v>
      </c>
      <c r="X239"/>
    </row>
    <row r="240" customHeight="1" spans="1:24">
      <c r="A240" s="3" t="s">
        <v>726</v>
      </c>
      <c r="B240" s="4">
        <v>1790080</v>
      </c>
      <c r="C240" s="4"/>
      <c r="D240" s="4">
        <v>0.3</v>
      </c>
      <c r="E240" s="4"/>
      <c r="F240" s="4">
        <f>(H240/B240-D240)/(1-D240)</f>
        <v>0.972802492466418</v>
      </c>
      <c r="G240" s="4">
        <f>100-100*F240</f>
        <v>2.71975075335818</v>
      </c>
      <c r="H240" s="4">
        <v>1756000</v>
      </c>
      <c r="I240" s="4">
        <f>100-100*H240/B240</f>
        <v>1.90382552735073</v>
      </c>
      <c r="K240" s="4">
        <v>8.5</v>
      </c>
      <c r="L240" s="7">
        <v>44742.4583333333</v>
      </c>
      <c r="M240" s="8">
        <v>7</v>
      </c>
      <c r="N240"/>
      <c r="O240"/>
      <c r="P240"/>
      <c r="Q240"/>
      <c r="R240"/>
      <c r="S240" t="s">
        <v>727</v>
      </c>
      <c r="T240" t="str">
        <f>_xlfn.DISPIMG("ID_5BE089F644E8421593CEA11BFE5C5CC8",1)</f>
        <v>=DISPIMG("ID_5BE089F644E8421593CEA11BFE5C5CC8",1)</v>
      </c>
      <c r="U240" s="13" t="s">
        <v>728</v>
      </c>
      <c r="V240" s="29" t="s">
        <v>729</v>
      </c>
      <c r="W240" s="5" t="s">
        <v>730</v>
      </c>
      <c r="X240"/>
    </row>
    <row r="241" customHeight="1" spans="1:24">
      <c r="A241" s="3" t="s">
        <v>731</v>
      </c>
      <c r="B241" s="4">
        <v>8015212.2</v>
      </c>
      <c r="C241" s="4"/>
      <c r="D241" s="4">
        <v>0.1</v>
      </c>
      <c r="F241" s="4">
        <f>(H241/B241-D241)/(1-D241)</f>
        <v>0.903130000725371</v>
      </c>
      <c r="G241" s="4">
        <f>100-100*F241</f>
        <v>9.68699992746294</v>
      </c>
      <c r="H241" s="4">
        <v>7316421.96</v>
      </c>
      <c r="I241" s="4">
        <f>100-100*H241/B241</f>
        <v>8.71829993471664</v>
      </c>
      <c r="K241" s="4">
        <v>8.3</v>
      </c>
      <c r="L241" s="7">
        <v>44743.3958333333</v>
      </c>
      <c r="M241" s="8">
        <v>93</v>
      </c>
      <c r="N241"/>
      <c r="O241"/>
      <c r="P241"/>
      <c r="Q241"/>
      <c r="R241"/>
      <c r="S241" t="s">
        <v>732</v>
      </c>
      <c r="T241" s="13" t="str">
        <f>_xlfn.DISPIMG("ID_5C1B5B8EA2164BF49185CA64500D4BE4",1)</f>
        <v>=DISPIMG("ID_5C1B5B8EA2164BF49185CA64500D4BE4",1)</v>
      </c>
      <c r="U241" s="13" t="s">
        <v>189</v>
      </c>
      <c r="V241" s="5" t="s">
        <v>581</v>
      </c>
      <c r="W241" s="39" t="s">
        <v>733</v>
      </c>
      <c r="X241"/>
    </row>
    <row r="242" customHeight="1" spans="1:24">
      <c r="A242" s="3" t="s">
        <v>734</v>
      </c>
      <c r="B242" s="4">
        <v>6019063.96</v>
      </c>
      <c r="D242" s="4">
        <v>98</v>
      </c>
      <c r="H242" s="4">
        <v>5533020.37</v>
      </c>
      <c r="I242" s="4">
        <f>100-100*H242/B242</f>
        <v>8.07506936676579</v>
      </c>
      <c r="K242" s="4">
        <v>7.86</v>
      </c>
      <c r="L242" s="7">
        <v>44747.3958333333</v>
      </c>
      <c r="M242" s="8">
        <v>600</v>
      </c>
      <c r="N242"/>
      <c r="O242"/>
      <c r="P242"/>
      <c r="Q242"/>
      <c r="R242"/>
      <c r="S242" t="s">
        <v>735</v>
      </c>
      <c r="T242" t="str">
        <f>_xlfn.DISPIMG("ID_B45AC5B0931F41358AA01BD5585B5788",1)</f>
        <v>=DISPIMG("ID_B45AC5B0931F41358AA01BD5585B5788",1)</v>
      </c>
      <c r="U242" t="s">
        <v>119</v>
      </c>
      <c r="V242" s="5" t="s">
        <v>539</v>
      </c>
      <c r="W242" s="20"/>
      <c r="X242"/>
    </row>
    <row r="243" customHeight="1" spans="1:24">
      <c r="A243" s="3" t="s">
        <v>736</v>
      </c>
      <c r="B243" s="4">
        <v>5055475.07</v>
      </c>
      <c r="C243" s="4"/>
      <c r="D243" s="4">
        <v>98</v>
      </c>
      <c r="E243" s="4"/>
      <c r="F243" s="4"/>
      <c r="G243" s="4"/>
      <c r="H243" s="4">
        <v>4570402.24</v>
      </c>
      <c r="I243" s="4">
        <f>100-100*H243/B243</f>
        <v>9.59499994132105</v>
      </c>
      <c r="K243" s="4">
        <v>6.8</v>
      </c>
      <c r="L243" s="7">
        <v>44747.4583333333</v>
      </c>
      <c r="M243" s="8">
        <v>226</v>
      </c>
      <c r="N243"/>
      <c r="O243"/>
      <c r="P243"/>
      <c r="Q243"/>
      <c r="R243"/>
      <c r="S243" t="s">
        <v>737</v>
      </c>
      <c r="T243" t="str">
        <f>_xlfn.DISPIMG("ID_A5C5C48DA77F4825959FA26444F402F2",1)</f>
        <v>=DISPIMG("ID_A5C5C48DA77F4825959FA26444F402F2",1)</v>
      </c>
      <c r="U243" t="s">
        <v>162</v>
      </c>
      <c r="V243" s="5" t="s">
        <v>539</v>
      </c>
      <c r="W243" s="20"/>
      <c r="X243"/>
    </row>
    <row r="244" customHeight="1" spans="1:23">
      <c r="A244" s="3" t="s">
        <v>738</v>
      </c>
      <c r="B244" s="4">
        <v>87345529.34</v>
      </c>
      <c r="C244" s="4">
        <v>83423758.16</v>
      </c>
      <c r="D244" s="4">
        <f>AVERAGE(O244:Q244)</f>
        <v>3.6</v>
      </c>
      <c r="E244" s="4">
        <v>0.1</v>
      </c>
      <c r="F244" s="4">
        <f>(C244-B244*(1-0.01*D244)*E244)/(B244*(1-E244))</f>
        <v>0.954111659219886</v>
      </c>
      <c r="G244" s="4">
        <f>100-100*F244</f>
        <v>4.58883407801137</v>
      </c>
      <c r="H244" s="4">
        <v>83416677.88</v>
      </c>
      <c r="I244" s="4">
        <f>100-100*H244/B244</f>
        <v>4.49805672904748</v>
      </c>
      <c r="K244" s="4">
        <v>4.6</v>
      </c>
      <c r="L244" s="7">
        <v>44748.375</v>
      </c>
      <c r="M244" s="8">
        <v>120</v>
      </c>
      <c r="N244" s="112">
        <v>1</v>
      </c>
      <c r="O244" s="112">
        <v>6.4</v>
      </c>
      <c r="P244" s="112">
        <v>3.1</v>
      </c>
      <c r="Q244" s="112">
        <v>1.3</v>
      </c>
      <c r="R244" s="112">
        <v>0.1</v>
      </c>
      <c r="S244" s="61" t="s">
        <v>739</v>
      </c>
      <c r="T244" t="str">
        <f>_xlfn.DISPIMG("ID_39A08211ED6A4076AB89912F4CD96E32",1)</f>
        <v>=DISPIMG("ID_39A08211ED6A4076AB89912F4CD96E32",1)</v>
      </c>
      <c r="U244" s="66" t="s">
        <v>426</v>
      </c>
      <c r="V244" s="86" t="s">
        <v>59</v>
      </c>
      <c r="W244" s="52" t="s">
        <v>740</v>
      </c>
    </row>
    <row r="245" customHeight="1" spans="1:24">
      <c r="A245" s="3" t="s">
        <v>741</v>
      </c>
      <c r="B245" s="4">
        <v>4325232.89</v>
      </c>
      <c r="C245" s="4"/>
      <c r="D245" s="4">
        <v>102</v>
      </c>
      <c r="E245" s="4">
        <v>30</v>
      </c>
      <c r="F245" s="4">
        <f>H245/B245/(D245*0.01)</f>
        <v>0.876568628142545</v>
      </c>
      <c r="G245" s="4">
        <f>100-100*F245</f>
        <v>12.3431371857455</v>
      </c>
      <c r="H245" s="4">
        <v>3867190.73</v>
      </c>
      <c r="I245" s="4">
        <f>100-100*H245/B245</f>
        <v>10.5899999294604</v>
      </c>
      <c r="K245" s="4">
        <v>11.5</v>
      </c>
      <c r="L245" s="7">
        <v>44748.4583333333</v>
      </c>
      <c r="M245" s="8">
        <v>66</v>
      </c>
      <c r="N245"/>
      <c r="O245"/>
      <c r="P245"/>
      <c r="Q245"/>
      <c r="R245"/>
      <c r="S245" t="s">
        <v>742</v>
      </c>
      <c r="T245" t="str">
        <f>_xlfn.DISPIMG("ID_A8CF580EBC2A49AE915DAA560CE19244",1)</f>
        <v>=DISPIMG("ID_A8CF580EBC2A49AE915DAA560CE19244",1)</v>
      </c>
      <c r="U245" s="120" t="s">
        <v>26</v>
      </c>
      <c r="V245" s="82" t="s">
        <v>29</v>
      </c>
      <c r="W245" s="82" t="s">
        <v>743</v>
      </c>
      <c r="X245"/>
    </row>
    <row r="246" customHeight="1" spans="1:23">
      <c r="A246" s="3" t="s">
        <v>744</v>
      </c>
      <c r="B246" s="4">
        <v>19779744.02</v>
      </c>
      <c r="C246" s="4">
        <v>18720663.34</v>
      </c>
      <c r="D246" s="4">
        <f>AVERAGE(O246:Q246)</f>
        <v>6.3</v>
      </c>
      <c r="E246" s="4">
        <v>0.1</v>
      </c>
      <c r="F246" s="4">
        <f>(C246-B246*(1-0.01*D246)*E246)/(B246*(1-E246))</f>
        <v>0.947506999993465</v>
      </c>
      <c r="G246" s="4">
        <f>100-100*F246</f>
        <v>5.24930000065346</v>
      </c>
      <c r="H246" s="4">
        <v>18718956.35</v>
      </c>
      <c r="I246" s="4">
        <f>100-100*H246/B246</f>
        <v>5.36299999093718</v>
      </c>
      <c r="K246" s="4">
        <v>4.3</v>
      </c>
      <c r="L246" s="7">
        <v>44750.3958333333</v>
      </c>
      <c r="M246" s="8">
        <v>117</v>
      </c>
      <c r="N246" s="112">
        <v>1</v>
      </c>
      <c r="O246" s="112">
        <v>9.5</v>
      </c>
      <c r="P246" s="112">
        <v>8.9</v>
      </c>
      <c r="Q246" s="112">
        <v>0.5</v>
      </c>
      <c r="R246" s="112">
        <v>0.1</v>
      </c>
      <c r="S246" s="61" t="s">
        <v>745</v>
      </c>
      <c r="T246" t="str">
        <f>_xlfn.DISPIMG("ID_39A08211ED6A4076AB89912F4CD96E32",1)</f>
        <v>=DISPIMG("ID_39A08211ED6A4076AB89912F4CD96E32",1)</v>
      </c>
      <c r="U246" s="66" t="s">
        <v>426</v>
      </c>
      <c r="V246" s="86" t="s">
        <v>59</v>
      </c>
      <c r="W246" s="52" t="s">
        <v>746</v>
      </c>
    </row>
    <row r="247" customHeight="1" spans="1:24">
      <c r="A247" s="3" t="s">
        <v>747</v>
      </c>
      <c r="B247" s="4">
        <v>1846394.22</v>
      </c>
      <c r="D247" s="4">
        <v>98</v>
      </c>
      <c r="H247" s="4">
        <v>1669560.39</v>
      </c>
      <c r="I247" s="4">
        <f>100-100*H247/B247</f>
        <v>9.57725214282787</v>
      </c>
      <c r="K247" s="4">
        <v>5.6</v>
      </c>
      <c r="L247" s="7">
        <v>44755.375</v>
      </c>
      <c r="M247" s="8">
        <v>175</v>
      </c>
      <c r="N247"/>
      <c r="O247"/>
      <c r="P247"/>
      <c r="Q247"/>
      <c r="R247"/>
      <c r="S247" t="s">
        <v>748</v>
      </c>
      <c r="T247" t="str">
        <f>_xlfn.DISPIMG("ID_B45AC5B0931F41358AA01BD5585B5788",1)</f>
        <v>=DISPIMG("ID_B45AC5B0931F41358AA01BD5585B5788",1)</v>
      </c>
      <c r="U247" t="s">
        <v>119</v>
      </c>
      <c r="V247" s="5" t="s">
        <v>539</v>
      </c>
      <c r="W247" s="20"/>
      <c r="X247"/>
    </row>
    <row r="248" customHeight="1" spans="1:24">
      <c r="A248" s="3" t="s">
        <v>749</v>
      </c>
      <c r="B248" s="4">
        <v>2341184.07</v>
      </c>
      <c r="D248" s="4">
        <v>99.6</v>
      </c>
      <c r="H248" s="4">
        <v>2154999.23</v>
      </c>
      <c r="I248" s="4">
        <f>100-100*H248/B248</f>
        <v>7.95259298001288</v>
      </c>
      <c r="K248" s="4">
        <v>8.78</v>
      </c>
      <c r="L248" s="7">
        <v>44755.375</v>
      </c>
      <c r="M248" s="8">
        <v>167</v>
      </c>
      <c r="N248"/>
      <c r="O248"/>
      <c r="P248"/>
      <c r="Q248"/>
      <c r="R248"/>
      <c r="S248" t="s">
        <v>750</v>
      </c>
      <c r="T248" t="str">
        <f>_xlfn.DISPIMG("ID_B45AC5B0931F41358AA01BD5585B5788",1)</f>
        <v>=DISPIMG("ID_B45AC5B0931F41358AA01BD5585B5788",1)</v>
      </c>
      <c r="U248" t="s">
        <v>119</v>
      </c>
      <c r="V248" s="5" t="s">
        <v>539</v>
      </c>
      <c r="W248" s="20"/>
      <c r="X248"/>
    </row>
    <row r="249" customHeight="1" spans="1:24">
      <c r="A249" s="3" t="s">
        <v>751</v>
      </c>
      <c r="B249" s="4">
        <v>10366252.45</v>
      </c>
      <c r="C249" s="4">
        <v>9516177.51</v>
      </c>
      <c r="D249" s="4">
        <f>AVERAGE(O249:Q249)</f>
        <v>8.3</v>
      </c>
      <c r="E249" s="4">
        <f>R249</f>
        <v>0.9</v>
      </c>
      <c r="F249" s="4">
        <f>(C249-B249*(1-0.01*D249)*E249)/(B249*(1-E249))</f>
        <v>0.926959253259359</v>
      </c>
      <c r="G249" s="4">
        <f>100-100*F249</f>
        <v>7.3040746740641</v>
      </c>
      <c r="H249" s="4">
        <v>9517878.35</v>
      </c>
      <c r="I249" s="4">
        <f>100-100*H249/B249</f>
        <v>8.18399999509947</v>
      </c>
      <c r="K249" s="4">
        <v>6.5</v>
      </c>
      <c r="L249" s="7">
        <v>44755.375</v>
      </c>
      <c r="M249" s="8">
        <v>91</v>
      </c>
      <c r="N249" s="13">
        <v>1</v>
      </c>
      <c r="O249" s="13">
        <v>2.3</v>
      </c>
      <c r="P249" s="13">
        <v>10.2</v>
      </c>
      <c r="Q249" s="13">
        <v>12.4</v>
      </c>
      <c r="R249" s="13">
        <v>0.9</v>
      </c>
      <c r="S249" s="61" t="s">
        <v>752</v>
      </c>
      <c r="T249" s="13" t="str">
        <f>_xlfn.DISPIMG("ID_F9BF756C572443B38AAB6A0C5FAB6B3E",1)</f>
        <v>=DISPIMG("ID_F9BF756C572443B38AAB6A0C5FAB6B3E",1)</v>
      </c>
      <c r="U249" s="66" t="s">
        <v>753</v>
      </c>
      <c r="V249" s="82" t="s">
        <v>29</v>
      </c>
      <c r="W249" s="60" t="s">
        <v>754</v>
      </c>
      <c r="X249" s="13" t="s">
        <v>755</v>
      </c>
    </row>
    <row r="250" customHeight="1" spans="1:24">
      <c r="A250" s="3" t="s">
        <v>756</v>
      </c>
      <c r="B250" s="4">
        <v>2247439.6</v>
      </c>
      <c r="D250" s="4">
        <v>100.4</v>
      </c>
      <c r="H250" s="4">
        <v>2037213.9</v>
      </c>
      <c r="I250" s="4">
        <f>100-100*H250/B250</f>
        <v>9.35400889082848</v>
      </c>
      <c r="K250" s="4">
        <v>10.9</v>
      </c>
      <c r="L250" s="7">
        <v>44757.375</v>
      </c>
      <c r="M250" s="8">
        <v>133</v>
      </c>
      <c r="N250"/>
      <c r="O250"/>
      <c r="P250"/>
      <c r="Q250"/>
      <c r="R250"/>
      <c r="S250" t="s">
        <v>757</v>
      </c>
      <c r="T250" t="str">
        <f>_xlfn.DISPIMG("ID_B45AC5B0931F41358AA01BD5585B5788",1)</f>
        <v>=DISPIMG("ID_B45AC5B0931F41358AA01BD5585B5788",1)</v>
      </c>
      <c r="U250" t="s">
        <v>119</v>
      </c>
      <c r="V250" s="5" t="s">
        <v>402</v>
      </c>
      <c r="W250" s="20"/>
      <c r="X250"/>
    </row>
    <row r="251" customHeight="1" spans="1:23">
      <c r="A251" s="3" t="s">
        <v>758</v>
      </c>
      <c r="B251" s="4">
        <v>7482145.66</v>
      </c>
      <c r="C251" s="4">
        <v>6655185.59</v>
      </c>
      <c r="D251" s="4">
        <f>AVERAGE(O251:Q251)</f>
        <v>11.4666666666667</v>
      </c>
      <c r="E251" s="4">
        <f>R251</f>
        <v>0.9</v>
      </c>
      <c r="F251" s="4">
        <f>(C251-B251*(1-0.01*D251)*E251)/(B251*(1-E251))</f>
        <v>0.926755451740296</v>
      </c>
      <c r="G251" s="4">
        <f>100-100*F251</f>
        <v>7.32445482597042</v>
      </c>
      <c r="H251" s="4">
        <v>6721361.39</v>
      </c>
      <c r="I251" s="4">
        <f>100-100*H251/B251</f>
        <v>10.1679959809817</v>
      </c>
      <c r="K251" s="4">
        <v>7.3</v>
      </c>
      <c r="L251" s="7">
        <v>44757.4583333333</v>
      </c>
      <c r="M251" s="8">
        <v>128</v>
      </c>
      <c r="N251" s="13">
        <v>3</v>
      </c>
      <c r="O251" s="13">
        <v>10.9</v>
      </c>
      <c r="P251" s="13">
        <v>8.8</v>
      </c>
      <c r="Q251" s="13">
        <v>14.7</v>
      </c>
      <c r="R251" s="13">
        <v>0.9</v>
      </c>
      <c r="S251" s="13" t="s">
        <v>759</v>
      </c>
      <c r="T251" t="str">
        <f>_xlfn.DISPIMG("ID_8594350670894A83994259256103CCA3",1)</f>
        <v>=DISPIMG("ID_8594350670894A83994259256103CCA3",1)</v>
      </c>
      <c r="U251" s="66" t="s">
        <v>623</v>
      </c>
      <c r="V251" s="82" t="s">
        <v>29</v>
      </c>
      <c r="W251" s="60" t="s">
        <v>760</v>
      </c>
    </row>
    <row r="252" customHeight="1" spans="1:24">
      <c r="A252" s="3" t="s">
        <v>761</v>
      </c>
      <c r="B252" s="4">
        <v>31616388.1</v>
      </c>
      <c r="C252" s="4">
        <v>29086493.78</v>
      </c>
      <c r="D252" s="4">
        <v>0.1</v>
      </c>
      <c r="H252" s="4">
        <v>28824661.02</v>
      </c>
      <c r="I252" s="4">
        <f>100-100*H252/B252</f>
        <v>8.83000003406461</v>
      </c>
      <c r="K252" s="4">
        <v>6.6</v>
      </c>
      <c r="L252" s="7">
        <v>44763.3958333333</v>
      </c>
      <c r="M252" s="8">
        <v>37</v>
      </c>
      <c r="N252"/>
      <c r="O252"/>
      <c r="P252"/>
      <c r="Q252"/>
      <c r="R252"/>
      <c r="S252" t="s">
        <v>762</v>
      </c>
      <c r="T252" t="str">
        <f>_xlfn.DISPIMG("ID_C873D48870844938AC932FB38EF1BB68",1)</f>
        <v>=DISPIMG("ID_C873D48870844938AC932FB38EF1BB68",1)</v>
      </c>
      <c r="U252" s="13" t="s">
        <v>763</v>
      </c>
      <c r="V252" s="29" t="s">
        <v>764</v>
      </c>
      <c r="W252" s="5" t="s">
        <v>765</v>
      </c>
      <c r="X252"/>
    </row>
    <row r="253" customHeight="1" spans="1:24">
      <c r="A253" s="117" t="s">
        <v>766</v>
      </c>
      <c r="B253" s="4">
        <v>31778383.41</v>
      </c>
      <c r="C253" s="4"/>
      <c r="D253" s="4">
        <v>0.4</v>
      </c>
      <c r="E253" s="4"/>
      <c r="F253" s="4">
        <f>(H253/B253-D253)/(1-D253)</f>
        <v>0.99190427142415</v>
      </c>
      <c r="G253" s="4">
        <f>100-100*F253</f>
        <v>0.809572857585039</v>
      </c>
      <c r="H253" s="4">
        <v>31624021.91</v>
      </c>
      <c r="I253" s="4">
        <f>100-100*H253/B253</f>
        <v>0.48574371455102</v>
      </c>
      <c r="K253" s="4">
        <v>1.6</v>
      </c>
      <c r="L253" s="7">
        <v>44770.375</v>
      </c>
      <c r="M253" s="8">
        <v>36</v>
      </c>
      <c r="N253"/>
      <c r="O253"/>
      <c r="P253"/>
      <c r="Q253"/>
      <c r="R253"/>
      <c r="S253" s="35" t="s">
        <v>767</v>
      </c>
      <c r="T253" t="str">
        <f>_xlfn.DISPIMG("ID_8B35092E738D4FEEADF54236235FBA16",1)</f>
        <v>=DISPIMG("ID_8B35092E738D4FEEADF54236235FBA16",1)</v>
      </c>
      <c r="U253" s="13" t="s">
        <v>768</v>
      </c>
      <c r="V253" s="5" t="s">
        <v>581</v>
      </c>
      <c r="W253" s="39" t="s">
        <v>769</v>
      </c>
      <c r="X253"/>
    </row>
    <row r="254" customHeight="1" spans="1:24">
      <c r="A254" s="3" t="s">
        <v>770</v>
      </c>
      <c r="B254" s="4">
        <v>7341307.81</v>
      </c>
      <c r="D254" s="4">
        <v>0.3</v>
      </c>
      <c r="F254" s="4">
        <f>(H254/B254-D254)/(1-D254)</f>
        <v>0.953385715033012</v>
      </c>
      <c r="G254" s="4">
        <f>100-100*F254</f>
        <v>4.66142849669879</v>
      </c>
      <c r="H254" s="4">
        <v>7101760.94</v>
      </c>
      <c r="I254" s="4">
        <f>100-100*H254/B254</f>
        <v>3.26299994768915</v>
      </c>
      <c r="K254" s="4">
        <v>1.3</v>
      </c>
      <c r="L254" s="7">
        <v>44778.375</v>
      </c>
      <c r="M254" s="8">
        <v>77</v>
      </c>
      <c r="N254"/>
      <c r="O254"/>
      <c r="P254"/>
      <c r="Q254"/>
      <c r="R254"/>
      <c r="S254" t="s">
        <v>771</v>
      </c>
      <c r="T254" s="13" t="str">
        <f>_xlfn.DISPIMG("ID_AB9CC0FC36584B33ABE1470B59C3303E",1)</f>
        <v>=DISPIMG("ID_AB9CC0FC36584B33ABE1470B59C3303E",1)</v>
      </c>
      <c r="U254" s="13" t="s">
        <v>383</v>
      </c>
      <c r="V254" s="5" t="s">
        <v>581</v>
      </c>
      <c r="W254" s="36" t="s">
        <v>772</v>
      </c>
      <c r="X254"/>
    </row>
    <row r="255" customHeight="1" spans="1:24">
      <c r="A255" s="3" t="s">
        <v>773</v>
      </c>
      <c r="B255" s="4">
        <v>5982537.34</v>
      </c>
      <c r="C255" s="4"/>
      <c r="D255" s="4">
        <v>0.3</v>
      </c>
      <c r="E255" s="4"/>
      <c r="F255" s="4">
        <f>(H255/B255-D255)/(1-D255)</f>
        <v>0.937240396492273</v>
      </c>
      <c r="G255" s="4">
        <f>100-100*F255</f>
        <v>6.27596035077268</v>
      </c>
      <c r="H255" s="4">
        <v>5719714.17</v>
      </c>
      <c r="I255" s="4">
        <f>100-100*H255/B255</f>
        <v>4.39317224554088</v>
      </c>
      <c r="K255" s="4">
        <v>5.21</v>
      </c>
      <c r="L255" s="7">
        <v>44778.4166666667</v>
      </c>
      <c r="M255" s="8">
        <v>83</v>
      </c>
      <c r="N255"/>
      <c r="O255"/>
      <c r="P255"/>
      <c r="Q255"/>
      <c r="R255"/>
      <c r="S255" t="s">
        <v>774</v>
      </c>
      <c r="T255" s="13" t="str">
        <f>_xlfn.DISPIMG("ID_AB9CC0FC36584B33ABE1470B59C3303E",1)</f>
        <v>=DISPIMG("ID_AB9CC0FC36584B33ABE1470B59C3303E",1)</v>
      </c>
      <c r="U255" s="13" t="s">
        <v>383</v>
      </c>
      <c r="V255" s="5" t="s">
        <v>581</v>
      </c>
      <c r="W255" s="36" t="s">
        <v>772</v>
      </c>
      <c r="X255"/>
    </row>
    <row r="256" customHeight="1" spans="1:24">
      <c r="A256" s="3" t="s">
        <v>775</v>
      </c>
      <c r="B256" s="4">
        <v>3440055.59</v>
      </c>
      <c r="D256" s="4">
        <v>100.4</v>
      </c>
      <c r="H256" s="4">
        <v>3254292.59</v>
      </c>
      <c r="I256" s="4">
        <f>100-100*H256/B256</f>
        <v>5.3999999459311</v>
      </c>
      <c r="K256" s="4">
        <v>8.36</v>
      </c>
      <c r="L256" s="7">
        <v>44778.4583333333</v>
      </c>
      <c r="M256" s="8">
        <v>128</v>
      </c>
      <c r="N256"/>
      <c r="O256"/>
      <c r="P256"/>
      <c r="Q256"/>
      <c r="R256"/>
      <c r="S256" t="s">
        <v>776</v>
      </c>
      <c r="T256" t="str">
        <f>_xlfn.DISPIMG("ID_B45AC5B0931F41358AA01BD5585B5788",1)</f>
        <v>=DISPIMG("ID_B45AC5B0931F41358AA01BD5585B5788",1)</v>
      </c>
      <c r="U256" t="s">
        <v>119</v>
      </c>
      <c r="V256" s="18" t="s">
        <v>777</v>
      </c>
      <c r="W256" s="20"/>
      <c r="X256"/>
    </row>
    <row r="257" customHeight="1" spans="1:24">
      <c r="A257" s="3" t="s">
        <v>778</v>
      </c>
      <c r="B257" s="4">
        <v>3748092.96</v>
      </c>
      <c r="C257" s="4"/>
      <c r="D257" s="4">
        <v>100.8</v>
      </c>
      <c r="H257" s="4">
        <v>3541947.85</v>
      </c>
      <c r="I257" s="4">
        <f>100-100*H257/B257</f>
        <v>5.49999992529534</v>
      </c>
      <c r="K257" s="4">
        <v>5.18</v>
      </c>
      <c r="L257" s="7">
        <v>44778.4583333333</v>
      </c>
      <c r="M257" s="8">
        <v>125</v>
      </c>
      <c r="N257"/>
      <c r="O257"/>
      <c r="P257"/>
      <c r="Q257"/>
      <c r="R257"/>
      <c r="S257" t="s">
        <v>779</v>
      </c>
      <c r="T257" t="str">
        <f>_xlfn.DISPIMG("ID_B45AC5B0931F41358AA01BD5585B5788",1)</f>
        <v>=DISPIMG("ID_B45AC5B0931F41358AA01BD5585B5788",1)</v>
      </c>
      <c r="U257" t="s">
        <v>119</v>
      </c>
      <c r="V257" s="18" t="s">
        <v>777</v>
      </c>
      <c r="W257" s="20"/>
      <c r="X257"/>
    </row>
    <row r="258" customHeight="1" spans="1:23">
      <c r="A258" s="3" t="s">
        <v>780</v>
      </c>
      <c r="B258" s="4">
        <v>33445754.54</v>
      </c>
      <c r="C258" s="4">
        <v>32220787.61</v>
      </c>
      <c r="D258" s="4">
        <f>AVERAGE(O258:Q258)</f>
        <v>2.8</v>
      </c>
      <c r="E258" s="4">
        <f>R258</f>
        <v>0.7</v>
      </c>
      <c r="F258" s="4">
        <f>(C258-B258*(1-0.01*D258)*E258)/(B258*(1-E258))</f>
        <v>0.943248388437962</v>
      </c>
      <c r="G258" s="4">
        <f>100-100*F258</f>
        <v>5.67516115620376</v>
      </c>
      <c r="H258" s="4">
        <v>32074478.6</v>
      </c>
      <c r="I258" s="4">
        <f>100-100*H258/B258</f>
        <v>4.10000001154107</v>
      </c>
      <c r="K258" s="4">
        <v>6.8</v>
      </c>
      <c r="L258" s="7">
        <v>44778.5</v>
      </c>
      <c r="M258" s="8">
        <v>74</v>
      </c>
      <c r="N258" s="13">
        <v>1</v>
      </c>
      <c r="O258" s="13">
        <v>2.7</v>
      </c>
      <c r="P258" s="13">
        <v>1.5</v>
      </c>
      <c r="Q258" s="13">
        <v>4.2</v>
      </c>
      <c r="R258" s="13">
        <v>0.7</v>
      </c>
      <c r="S258" s="13" t="s">
        <v>781</v>
      </c>
      <c r="T258" t="str">
        <f>_xlfn.DISPIMG("ID_8594350670894A83994259256103CCA3",1)</f>
        <v>=DISPIMG("ID_8594350670894A83994259256103CCA3",1)</v>
      </c>
      <c r="U258" s="66" t="s">
        <v>623</v>
      </c>
      <c r="V258" s="82" t="s">
        <v>29</v>
      </c>
      <c r="W258" s="125" t="s">
        <v>782</v>
      </c>
    </row>
    <row r="259" customHeight="1" spans="1:23">
      <c r="A259" s="3" t="s">
        <v>783</v>
      </c>
      <c r="B259" s="4">
        <v>60328015.11</v>
      </c>
      <c r="C259" s="4">
        <v>56479159.18</v>
      </c>
      <c r="D259" s="4">
        <f>AVERAGE(O259:Q259)</f>
        <v>6.53333333333333</v>
      </c>
      <c r="E259" s="4">
        <v>0.9</v>
      </c>
      <c r="F259" s="4">
        <f>(C259-B259*(1-0.01*D259)*E259)/(B259*(1-E259))</f>
        <v>0.950011840936233</v>
      </c>
      <c r="G259" s="4">
        <f>100-100*F259</f>
        <v>4.99881590637672</v>
      </c>
      <c r="H259" s="4">
        <v>56498995.58</v>
      </c>
      <c r="I259" s="4">
        <f>100-100*H259/B259</f>
        <v>6.34700068122298</v>
      </c>
      <c r="K259" s="4">
        <v>4.7</v>
      </c>
      <c r="L259" s="7">
        <v>44781.4583333333</v>
      </c>
      <c r="M259" s="8">
        <v>121</v>
      </c>
      <c r="N259" s="112">
        <v>2</v>
      </c>
      <c r="O259" s="112">
        <v>3.4</v>
      </c>
      <c r="P259" s="112">
        <v>9.9</v>
      </c>
      <c r="Q259" s="112">
        <v>6.3</v>
      </c>
      <c r="R259" s="112">
        <v>0.9</v>
      </c>
      <c r="S259" s="61" t="s">
        <v>784</v>
      </c>
      <c r="T259" t="str">
        <f>_xlfn.DISPIMG("ID_39A08211ED6A4076AB89912F4CD96E32",1)</f>
        <v>=DISPIMG("ID_39A08211ED6A4076AB89912F4CD96E32",1)</v>
      </c>
      <c r="U259" s="66" t="s">
        <v>426</v>
      </c>
      <c r="V259" s="86" t="s">
        <v>59</v>
      </c>
      <c r="W259" s="52" t="s">
        <v>785</v>
      </c>
    </row>
    <row r="260" customHeight="1" spans="1:23">
      <c r="A260" s="117" t="s">
        <v>786</v>
      </c>
      <c r="B260" s="4">
        <v>6192723.15</v>
      </c>
      <c r="C260" s="4">
        <v>5891496.57</v>
      </c>
      <c r="D260" s="4">
        <f>AVERAGE(O260:Q260)</f>
        <v>3.16666666666667</v>
      </c>
      <c r="E260" s="4">
        <v>0.1</v>
      </c>
      <c r="F260" s="4">
        <f>(C260-B260*(1-0.01*D260)*E260)/(B260*(1-E260))</f>
        <v>0.949471826636289</v>
      </c>
      <c r="G260" s="4">
        <f>100-100*F260</f>
        <v>5.05281733637111</v>
      </c>
      <c r="H260" s="4">
        <v>5891137.53</v>
      </c>
      <c r="I260" s="4">
        <f>100-100*H260/B260</f>
        <v>4.87000004190402</v>
      </c>
      <c r="K260" s="4">
        <v>4.8</v>
      </c>
      <c r="L260" s="7">
        <v>44781.5</v>
      </c>
      <c r="M260" s="8">
        <v>119</v>
      </c>
      <c r="N260" s="112">
        <v>1</v>
      </c>
      <c r="O260" s="112">
        <v>1.3</v>
      </c>
      <c r="P260" s="112">
        <v>0.5</v>
      </c>
      <c r="Q260" s="112">
        <v>7.7</v>
      </c>
      <c r="R260" s="112">
        <v>0.1</v>
      </c>
      <c r="S260" s="61" t="s">
        <v>787</v>
      </c>
      <c r="T260" t="str">
        <f>_xlfn.DISPIMG("ID_39A08211ED6A4076AB89912F4CD96E32",1)</f>
        <v>=DISPIMG("ID_39A08211ED6A4076AB89912F4CD96E32",1)</v>
      </c>
      <c r="U260" s="66" t="s">
        <v>426</v>
      </c>
      <c r="V260" s="86" t="s">
        <v>59</v>
      </c>
      <c r="W260" s="52" t="s">
        <v>788</v>
      </c>
    </row>
    <row r="261" customHeight="1" spans="1:24">
      <c r="A261" s="3" t="s">
        <v>789</v>
      </c>
      <c r="B261" s="4">
        <v>4784635.38</v>
      </c>
      <c r="D261" s="4">
        <v>0.1</v>
      </c>
      <c r="F261" s="4">
        <f>(H261/B261-D261)/(1-D261)</f>
        <v>0.96588804037793</v>
      </c>
      <c r="G261" s="4">
        <f>100-100*F261</f>
        <v>3.41119596220703</v>
      </c>
      <c r="H261" s="4">
        <v>4637743.42</v>
      </c>
      <c r="I261" s="4">
        <f>100-100*H261/B261</f>
        <v>3.07007636598632</v>
      </c>
      <c r="K261" s="4">
        <v>5.23</v>
      </c>
      <c r="L261" s="7">
        <v>44782.3958333333</v>
      </c>
      <c r="M261" s="8">
        <v>73</v>
      </c>
      <c r="N261"/>
      <c r="O261"/>
      <c r="P261"/>
      <c r="Q261"/>
      <c r="R261"/>
      <c r="S261" t="s">
        <v>790</v>
      </c>
      <c r="T261" s="13" t="str">
        <f>_xlfn.DISPIMG("ID_AB9CC0FC36584B33ABE1470B59C3303E",1)</f>
        <v>=DISPIMG("ID_AB9CC0FC36584B33ABE1470B59C3303E",1)</v>
      </c>
      <c r="U261" s="13" t="s">
        <v>383</v>
      </c>
      <c r="V261" s="5" t="s">
        <v>581</v>
      </c>
      <c r="W261" s="36" t="s">
        <v>772</v>
      </c>
      <c r="X261"/>
    </row>
    <row r="262" customHeight="1" spans="1:23">
      <c r="A262" s="3" t="s">
        <v>791</v>
      </c>
      <c r="B262" s="4">
        <v>11638174.84</v>
      </c>
      <c r="C262" s="4">
        <v>10971784.82</v>
      </c>
      <c r="D262" s="4">
        <f>AVERAGE(O262:Q262)</f>
        <v>5.33333333333333</v>
      </c>
      <c r="E262" s="4">
        <f>R262</f>
        <v>0.5</v>
      </c>
      <c r="F262" s="4">
        <f>(C262-B262*(1-0.01*D262)*E262)/(B262*(1-E262))</f>
        <v>0.938815373402084</v>
      </c>
      <c r="G262" s="4">
        <f>100-100*F262</f>
        <v>6.11846265979165</v>
      </c>
      <c r="H262" s="4">
        <v>10971772.95</v>
      </c>
      <c r="I262" s="4">
        <f>100-100*H262/B262</f>
        <v>5.72599998849991</v>
      </c>
      <c r="K262" s="4">
        <v>11.2</v>
      </c>
      <c r="L262" s="7">
        <v>44784.375</v>
      </c>
      <c r="M262" s="8">
        <v>138</v>
      </c>
      <c r="N262" s="13">
        <v>3</v>
      </c>
      <c r="O262" s="13">
        <v>7.4</v>
      </c>
      <c r="P262" s="13">
        <v>3</v>
      </c>
      <c r="Q262" s="13">
        <v>5.6</v>
      </c>
      <c r="R262" s="13">
        <v>0.5</v>
      </c>
      <c r="S262" s="61" t="s">
        <v>792</v>
      </c>
      <c r="T262" s="13" t="str">
        <f>_xlfn.DISPIMG("ID_B4679136F9BD41D5AC35E030E3588B67",1)</f>
        <v>=DISPIMG("ID_B4679136F9BD41D5AC35E030E3588B67",1)</v>
      </c>
      <c r="U262" s="66" t="s">
        <v>793</v>
      </c>
      <c r="V262" s="82" t="s">
        <v>29</v>
      </c>
      <c r="W262" s="52" t="s">
        <v>794</v>
      </c>
    </row>
    <row r="263" customHeight="1" spans="1:24">
      <c r="A263" s="3" t="s">
        <v>795</v>
      </c>
      <c r="B263" s="4">
        <v>6606645.19</v>
      </c>
      <c r="C263" s="4"/>
      <c r="D263" s="4">
        <v>0.1</v>
      </c>
      <c r="F263" s="4">
        <f>(H263/B263-D263)/(1-D263)</f>
        <v>0.942477778027745</v>
      </c>
      <c r="G263" s="4">
        <f>100-100*F263</f>
        <v>5.75222219722551</v>
      </c>
      <c r="H263" s="4">
        <v>6264619.17</v>
      </c>
      <c r="I263" s="4">
        <f>100-100*H263/B263</f>
        <v>5.17699997750296</v>
      </c>
      <c r="K263" s="4">
        <v>1.5</v>
      </c>
      <c r="L263" s="7">
        <v>44785.4583333333</v>
      </c>
      <c r="M263" s="8">
        <v>84</v>
      </c>
      <c r="N263"/>
      <c r="O263"/>
      <c r="P263"/>
      <c r="Q263"/>
      <c r="R263"/>
      <c r="S263" t="s">
        <v>796</v>
      </c>
      <c r="T263" t="str">
        <f>_xlfn.DISPIMG("ID_2075DED061DC483A94E38AC7E8DD6DB4",1)</f>
        <v>=DISPIMG("ID_2075DED061DC483A94E38AC7E8DD6DB4",1)</v>
      </c>
      <c r="U263" t="s">
        <v>39</v>
      </c>
      <c r="V263" s="5" t="s">
        <v>581</v>
      </c>
      <c r="W263" s="36" t="s">
        <v>797</v>
      </c>
      <c r="X263"/>
    </row>
    <row r="264" customHeight="1" spans="1:24">
      <c r="A264" s="3" t="s">
        <v>798</v>
      </c>
      <c r="B264" s="4">
        <v>5184518.17</v>
      </c>
      <c r="C264" s="4"/>
      <c r="D264" s="4">
        <v>0.2</v>
      </c>
      <c r="F264" s="4">
        <f>(H264/B264-D264)/(1-D264)</f>
        <v>0.912622772233432</v>
      </c>
      <c r="G264" s="4">
        <f>100-100*F264</f>
        <v>8.7377227766568</v>
      </c>
      <c r="H264" s="4">
        <v>4822111.11</v>
      </c>
      <c r="I264" s="4">
        <f>100-100*H264/B264</f>
        <v>6.99017822132542</v>
      </c>
      <c r="K264" s="4">
        <v>5.6</v>
      </c>
      <c r="L264" s="7">
        <v>44788.4583333333</v>
      </c>
      <c r="M264" s="8">
        <v>80</v>
      </c>
      <c r="N264"/>
      <c r="O264"/>
      <c r="P264"/>
      <c r="Q264"/>
      <c r="R264"/>
      <c r="S264" t="s">
        <v>799</v>
      </c>
      <c r="T264" t="str">
        <f>_xlfn.DISPIMG("ID_2075DED061DC483A94E38AC7E8DD6DB4",1)</f>
        <v>=DISPIMG("ID_2075DED061DC483A94E38AC7E8DD6DB4",1)</v>
      </c>
      <c r="U264" t="s">
        <v>39</v>
      </c>
      <c r="V264" s="5" t="s">
        <v>581</v>
      </c>
      <c r="W264" s="36" t="s">
        <v>797</v>
      </c>
      <c r="X264"/>
    </row>
    <row r="265" customHeight="1" spans="1:24">
      <c r="A265" s="3" t="s">
        <v>800</v>
      </c>
      <c r="B265" s="4">
        <v>6335956.86</v>
      </c>
      <c r="D265" s="4">
        <v>98.8</v>
      </c>
      <c r="E265" s="4"/>
      <c r="F265" s="4"/>
      <c r="G265" s="4"/>
      <c r="H265" s="4">
        <v>5832248.29</v>
      </c>
      <c r="I265" s="4">
        <f>100-100*H265/B265</f>
        <v>7.94999999416032</v>
      </c>
      <c r="K265" s="4">
        <v>38.6</v>
      </c>
      <c r="L265" s="7">
        <v>44789.4583333333</v>
      </c>
      <c r="M265" s="8">
        <v>98</v>
      </c>
      <c r="N265"/>
      <c r="O265"/>
      <c r="P265"/>
      <c r="Q265"/>
      <c r="R265"/>
      <c r="S265" s="35" t="s">
        <v>801</v>
      </c>
      <c r="T265" t="str">
        <f>_xlfn.DISPIMG("ID_B45AC5B0931F41358AA01BD5585B5788",1)</f>
        <v>=DISPIMG("ID_B45AC5B0931F41358AA01BD5585B5788",1)</v>
      </c>
      <c r="U265" t="s">
        <v>119</v>
      </c>
      <c r="V265" s="18" t="s">
        <v>777</v>
      </c>
      <c r="W265" s="20"/>
      <c r="X265"/>
    </row>
    <row r="266" customHeight="1" spans="1:24">
      <c r="A266" s="3" t="s">
        <v>802</v>
      </c>
      <c r="B266" s="4">
        <v>2790090.78</v>
      </c>
      <c r="C266" s="4"/>
      <c r="D266" s="4">
        <v>99.6</v>
      </c>
      <c r="E266" s="4"/>
      <c r="F266" s="4"/>
      <c r="G266" s="4"/>
      <c r="H266" s="4">
        <v>2562140.36</v>
      </c>
      <c r="I266" s="4">
        <f>100-100*H266/B266</f>
        <v>8.17000011734385</v>
      </c>
      <c r="K266" s="4">
        <v>5.6</v>
      </c>
      <c r="L266" s="7">
        <v>44789.4583333333</v>
      </c>
      <c r="M266" s="8">
        <v>80</v>
      </c>
      <c r="N266"/>
      <c r="O266"/>
      <c r="P266"/>
      <c r="Q266"/>
      <c r="R266"/>
      <c r="S266" t="s">
        <v>803</v>
      </c>
      <c r="T266" t="str">
        <f>_xlfn.DISPIMG("ID_B45AC5B0931F41358AA01BD5585B5788",1)</f>
        <v>=DISPIMG("ID_B45AC5B0931F41358AA01BD5585B5788",1)</v>
      </c>
      <c r="U266" t="s">
        <v>119</v>
      </c>
      <c r="V266" s="18" t="s">
        <v>777</v>
      </c>
      <c r="W266" s="20"/>
      <c r="X266"/>
    </row>
    <row r="267" customHeight="1" spans="1:23">
      <c r="A267" s="3" t="s">
        <v>804</v>
      </c>
      <c r="B267" s="4">
        <v>78069477.38</v>
      </c>
      <c r="C267" s="4">
        <v>68572709.56</v>
      </c>
      <c r="D267" s="4">
        <f>AVERAGE(O267:Q267)</f>
        <v>12.6666666666667</v>
      </c>
      <c r="E267" s="4">
        <f>R267</f>
        <v>0.9</v>
      </c>
      <c r="F267" s="4">
        <f>(C267-B267*(1-0.01*D267)*E267)/(B267*(1-E267))</f>
        <v>0.923549200185514</v>
      </c>
      <c r="G267" s="4">
        <f>100-100*F267</f>
        <v>7.64507998144862</v>
      </c>
      <c r="H267" s="4">
        <v>69036838.85</v>
      </c>
      <c r="I267" s="4">
        <f>100-100*H267/B267</f>
        <v>11.5699999963289</v>
      </c>
      <c r="K267" s="4">
        <v>7</v>
      </c>
      <c r="L267" s="7">
        <v>44791.4583333333</v>
      </c>
      <c r="M267" s="8">
        <v>76</v>
      </c>
      <c r="N267" s="13">
        <v>3</v>
      </c>
      <c r="O267" s="13">
        <v>10.9</v>
      </c>
      <c r="P267" s="13">
        <v>14.7</v>
      </c>
      <c r="Q267" s="13">
        <v>12.4</v>
      </c>
      <c r="R267" s="13">
        <v>0.9</v>
      </c>
      <c r="S267" s="61" t="s">
        <v>805</v>
      </c>
      <c r="T267" s="13" t="str">
        <f>_xlfn.DISPIMG("ID_8649ECA4E17540E882DF6EEE649A5325",1)</f>
        <v>=DISPIMG("ID_8649ECA4E17540E882DF6EEE649A5325",1)</v>
      </c>
      <c r="U267" s="66" t="s">
        <v>806</v>
      </c>
      <c r="V267" s="82" t="s">
        <v>29</v>
      </c>
      <c r="W267" s="125" t="s">
        <v>807</v>
      </c>
    </row>
    <row r="268" customHeight="1" spans="1:23">
      <c r="A268" s="117" t="s">
        <v>808</v>
      </c>
      <c r="B268" s="4">
        <v>8600000</v>
      </c>
      <c r="C268" s="4">
        <v>7462220</v>
      </c>
      <c r="D268" s="4">
        <f>AVERAGE(O268:Q268)</f>
        <v>13.2333333333333</v>
      </c>
      <c r="F268" s="4">
        <f>(C268-B268*(1-0.01*D268)*E268)/(B268*(1-E268))</f>
        <v>0.8677</v>
      </c>
      <c r="G268" s="4">
        <f>100-100*F268</f>
        <v>13.23</v>
      </c>
      <c r="H268" s="4">
        <v>7467380</v>
      </c>
      <c r="I268" s="4">
        <f>100-100*H268/B268</f>
        <v>13.17</v>
      </c>
      <c r="K268" s="4">
        <v>11.5</v>
      </c>
      <c r="L268" s="7">
        <v>44791.4583333333</v>
      </c>
      <c r="M268" s="8">
        <v>15</v>
      </c>
      <c r="N268" s="13">
        <v>2</v>
      </c>
      <c r="O268" s="13">
        <v>13.9</v>
      </c>
      <c r="P268" s="13">
        <v>13.6</v>
      </c>
      <c r="Q268" s="13">
        <v>12.2</v>
      </c>
      <c r="R268" s="13"/>
      <c r="S268" s="61" t="s">
        <v>809</v>
      </c>
      <c r="T268" s="13" t="str">
        <f>_xlfn.DISPIMG("ID_8FD039A9F5734F3C895B89D2979FA087",1)</f>
        <v>=DISPIMG("ID_8FD039A9F5734F3C895B89D2979FA087",1)</v>
      </c>
      <c r="U268" s="66" t="s">
        <v>810</v>
      </c>
      <c r="V268" s="82" t="s">
        <v>29</v>
      </c>
      <c r="W268" s="55" t="s">
        <v>811</v>
      </c>
    </row>
    <row r="269" customHeight="1" spans="1:24">
      <c r="A269" s="3" t="s">
        <v>812</v>
      </c>
      <c r="B269" s="4">
        <v>1922719.06</v>
      </c>
      <c r="D269" s="4">
        <v>102</v>
      </c>
      <c r="E269" s="4"/>
      <c r="H269" s="4">
        <v>1819084.5</v>
      </c>
      <c r="I269" s="4">
        <f>100-100*H269/B269</f>
        <v>5.39000013865781</v>
      </c>
      <c r="K269" s="4">
        <v>8.6</v>
      </c>
      <c r="L269" s="7">
        <v>44796.4583333333</v>
      </c>
      <c r="M269" s="8">
        <v>30</v>
      </c>
      <c r="N269"/>
      <c r="O269"/>
      <c r="P269"/>
      <c r="Q269"/>
      <c r="R269"/>
      <c r="S269" t="s">
        <v>813</v>
      </c>
      <c r="T269" t="str">
        <f>_xlfn.DISPIMG("ID_B45AC5B0931F41358AA01BD5585B5788",1)</f>
        <v>=DISPIMG("ID_B45AC5B0931F41358AA01BD5585B5788",1)</v>
      </c>
      <c r="U269" t="s">
        <v>119</v>
      </c>
      <c r="V269" s="18" t="s">
        <v>777</v>
      </c>
      <c r="W269" s="20"/>
      <c r="X269"/>
    </row>
    <row r="270" customHeight="1" spans="1:23">
      <c r="A270" s="3" t="s">
        <v>814</v>
      </c>
      <c r="B270" s="4">
        <v>9673409.49</v>
      </c>
      <c r="C270" s="4">
        <v>8876940.85</v>
      </c>
      <c r="D270" s="4">
        <f>AVERAGE(O270:Q270)</f>
        <v>9.23333333333333</v>
      </c>
      <c r="E270" s="4">
        <f>R270</f>
        <v>0.5</v>
      </c>
      <c r="F270" s="4">
        <f>(C270-B270*(1-0.01*D270)*E270)/(B270*(1-E270))</f>
        <v>0.92766158221531</v>
      </c>
      <c r="G270" s="4">
        <f>100-100*F270</f>
        <v>7.23384177846896</v>
      </c>
      <c r="H270" s="4">
        <v>8876223.81</v>
      </c>
      <c r="I270" s="4">
        <f>100-100*H270/B270</f>
        <v>8.24100004061754</v>
      </c>
      <c r="K270" s="4">
        <v>6.6</v>
      </c>
      <c r="L270" s="7">
        <v>44798.375</v>
      </c>
      <c r="M270" s="8">
        <v>134</v>
      </c>
      <c r="N270" s="13">
        <v>3</v>
      </c>
      <c r="O270" s="13">
        <v>12.4</v>
      </c>
      <c r="P270" s="13">
        <v>9.4</v>
      </c>
      <c r="Q270" s="13">
        <v>5.9</v>
      </c>
      <c r="R270" s="13">
        <v>0.5</v>
      </c>
      <c r="S270" s="61" t="s">
        <v>815</v>
      </c>
      <c r="T270" t="str">
        <f>_xlfn.DISPIMG("ID_8594350670894A83994259256103CCA3",1)</f>
        <v>=DISPIMG("ID_8594350670894A83994259256103CCA3",1)</v>
      </c>
      <c r="U270" s="66" t="s">
        <v>623</v>
      </c>
      <c r="V270" s="82" t="s">
        <v>29</v>
      </c>
      <c r="W270" s="60" t="s">
        <v>816</v>
      </c>
    </row>
    <row r="271" customHeight="1" spans="1:24">
      <c r="A271" s="3" t="s">
        <v>817</v>
      </c>
      <c r="B271" s="4">
        <v>12141720.91</v>
      </c>
      <c r="C271" s="4">
        <v>10485346.47</v>
      </c>
      <c r="D271" s="4">
        <v>0.1</v>
      </c>
      <c r="E271" s="4"/>
      <c r="F271" s="4">
        <f>(H271/B271-D271)/(1-D271)</f>
        <v>0.94897919933969</v>
      </c>
      <c r="G271" s="4">
        <f>100-100*F271</f>
        <v>5.10208006603096</v>
      </c>
      <c r="H271" s="4">
        <v>11584188.62</v>
      </c>
      <c r="I271" s="4">
        <f>100-100*H271/B271</f>
        <v>4.59187205942786</v>
      </c>
      <c r="K271" s="4">
        <v>3.1</v>
      </c>
      <c r="L271" s="7">
        <v>44798.3958333333</v>
      </c>
      <c r="M271" s="8">
        <v>122</v>
      </c>
      <c r="N271"/>
      <c r="O271"/>
      <c r="P271"/>
      <c r="Q271"/>
      <c r="R271"/>
      <c r="S271" t="s">
        <v>818</v>
      </c>
      <c r="T271" t="str">
        <f>_xlfn.DISPIMG("ID_4B3DF2AEEE564887924D22897D259763",1)</f>
        <v>=DISPIMG("ID_4B3DF2AEEE564887924D22897D259763",1)</v>
      </c>
      <c r="U271" s="13" t="s">
        <v>819</v>
      </c>
      <c r="V271" s="5" t="s">
        <v>581</v>
      </c>
      <c r="W271" s="26" t="s">
        <v>820</v>
      </c>
      <c r="X271"/>
    </row>
    <row r="272" customHeight="1" spans="1:24">
      <c r="A272" s="3" t="s">
        <v>821</v>
      </c>
      <c r="B272" s="4">
        <v>12731438.7</v>
      </c>
      <c r="C272" s="4">
        <v>11160189.69</v>
      </c>
      <c r="D272" s="4">
        <v>0.1</v>
      </c>
      <c r="E272" s="4"/>
      <c r="F272" s="4">
        <f>(H272/B272-D272)/(1-D272)</f>
        <v>0.964000000338619</v>
      </c>
      <c r="G272" s="4">
        <f>100-100*F272</f>
        <v>3.59999996613806</v>
      </c>
      <c r="H272" s="4">
        <v>12318940.09</v>
      </c>
      <c r="I272" s="4">
        <f>100-100*H272/B272</f>
        <v>3.23999996952425</v>
      </c>
      <c r="K272" s="4">
        <v>4.63</v>
      </c>
      <c r="L272" s="7">
        <v>44798.3958333333</v>
      </c>
      <c r="M272" s="8">
        <v>121</v>
      </c>
      <c r="N272"/>
      <c r="O272"/>
      <c r="P272"/>
      <c r="Q272"/>
      <c r="R272"/>
      <c r="S272" t="s">
        <v>822</v>
      </c>
      <c r="T272" t="str">
        <f>_xlfn.DISPIMG("ID_4B3DF2AEEE564887924D22897D259763",1)</f>
        <v>=DISPIMG("ID_4B3DF2AEEE564887924D22897D259763",1)</v>
      </c>
      <c r="U272" s="13" t="s">
        <v>819</v>
      </c>
      <c r="V272" s="5" t="s">
        <v>581</v>
      </c>
      <c r="W272" s="26" t="s">
        <v>820</v>
      </c>
      <c r="X272"/>
    </row>
    <row r="273" customHeight="1" spans="1:23">
      <c r="A273" s="117" t="s">
        <v>823</v>
      </c>
      <c r="B273" s="4">
        <v>64110985.67</v>
      </c>
      <c r="C273" s="4">
        <v>60919468.56</v>
      </c>
      <c r="D273" s="4">
        <f>AVERAGE(O273:Q273)</f>
        <v>4.96666666666667</v>
      </c>
      <c r="E273" s="4">
        <v>0.9</v>
      </c>
      <c r="F273" s="4">
        <f>(C273-B273*(1-0.01*D273)*E273)/(B273*(1-E273))</f>
        <v>0.949188731518218</v>
      </c>
      <c r="G273" s="4">
        <f>100-100*F273</f>
        <v>5.08112684817816</v>
      </c>
      <c r="H273" s="4">
        <v>60918258.58</v>
      </c>
      <c r="I273" s="4">
        <f>100-100*H273/B273</f>
        <v>4.9800000056683</v>
      </c>
      <c r="K273" s="4">
        <v>5.8</v>
      </c>
      <c r="L273" s="7">
        <v>44798.4583333333</v>
      </c>
      <c r="M273" s="8">
        <v>96</v>
      </c>
      <c r="N273" s="112">
        <v>4</v>
      </c>
      <c r="O273" s="112">
        <v>2.5</v>
      </c>
      <c r="P273" s="112">
        <v>9.2</v>
      </c>
      <c r="Q273" s="112">
        <v>3.2</v>
      </c>
      <c r="R273" s="112">
        <v>0.9</v>
      </c>
      <c r="S273" s="61" t="s">
        <v>824</v>
      </c>
      <c r="T273" t="str">
        <f>_xlfn.DISPIMG("ID_39A08211ED6A4076AB89912F4CD96E32",1)</f>
        <v>=DISPIMG("ID_39A08211ED6A4076AB89912F4CD96E32",1)</v>
      </c>
      <c r="U273" s="66" t="s">
        <v>426</v>
      </c>
      <c r="V273" s="86" t="s">
        <v>59</v>
      </c>
      <c r="W273" s="52" t="s">
        <v>825</v>
      </c>
    </row>
    <row r="274" customHeight="1" spans="1:23">
      <c r="A274" s="3" t="s">
        <v>826</v>
      </c>
      <c r="B274" s="4">
        <v>20958381.52</v>
      </c>
      <c r="C274" s="4">
        <v>19167268.28</v>
      </c>
      <c r="D274" s="4">
        <f>AVERAGE(O274:Q274)</f>
        <v>8.36666666666667</v>
      </c>
      <c r="E274" s="4">
        <f>R274</f>
        <v>0.7</v>
      </c>
      <c r="F274" s="4">
        <f>(C274-B274*(1-0.01*D274)*E274)/(B274*(1-E274))</f>
        <v>0.910353972211156</v>
      </c>
      <c r="G274" s="4">
        <f>100-100*F274</f>
        <v>8.96460277888436</v>
      </c>
      <c r="H274" s="4">
        <v>19166439.9</v>
      </c>
      <c r="I274" s="4">
        <f>100-100*H274/B274</f>
        <v>8.55000000019086</v>
      </c>
      <c r="K274" s="4">
        <v>7.66</v>
      </c>
      <c r="L274" s="7">
        <v>44799.375</v>
      </c>
      <c r="M274" s="8">
        <v>142</v>
      </c>
      <c r="N274" s="13">
        <v>1</v>
      </c>
      <c r="O274" s="13">
        <v>4.7</v>
      </c>
      <c r="P274" s="13">
        <v>6.6</v>
      </c>
      <c r="Q274" s="13">
        <v>13.8</v>
      </c>
      <c r="R274" s="13">
        <v>0.7</v>
      </c>
      <c r="S274" s="13" t="s">
        <v>827</v>
      </c>
      <c r="T274" s="13" t="str">
        <f>_xlfn.DISPIMG("ID_995273D54DAC4FB0A658266E8F0CD74B",1)</f>
        <v>=DISPIMG("ID_995273D54DAC4FB0A658266E8F0CD74B",1)</v>
      </c>
      <c r="U274" s="66" t="s">
        <v>828</v>
      </c>
      <c r="V274" s="82" t="s">
        <v>29</v>
      </c>
      <c r="W274" s="52" t="s">
        <v>829</v>
      </c>
    </row>
    <row r="275" customHeight="1" spans="1:23">
      <c r="A275" s="3" t="s">
        <v>830</v>
      </c>
      <c r="B275" s="4">
        <v>3158053.98</v>
      </c>
      <c r="C275" s="4">
        <v>2905762.4</v>
      </c>
      <c r="D275" s="4">
        <f>AVERAGE(O275:Q275)</f>
        <v>8.13333333333333</v>
      </c>
      <c r="E275" s="4">
        <f>R275</f>
        <v>0.7</v>
      </c>
      <c r="F275" s="4">
        <f>(C275-B275*(1-0.01*D275)*E275)/(B275*(1-E275))</f>
        <v>0.9234834273141</v>
      </c>
      <c r="G275" s="4">
        <f>100-100*F275</f>
        <v>7.65165726859001</v>
      </c>
      <c r="H275" s="4">
        <v>2904966.69</v>
      </c>
      <c r="I275" s="4">
        <f>100-100*H275/B275</f>
        <v>8.01402672667426</v>
      </c>
      <c r="K275" s="4">
        <v>7.5</v>
      </c>
      <c r="L275" s="7">
        <v>44799.4375</v>
      </c>
      <c r="M275" s="8">
        <v>119</v>
      </c>
      <c r="N275" s="13">
        <v>2</v>
      </c>
      <c r="O275" s="13">
        <v>6.9</v>
      </c>
      <c r="P275" s="13">
        <v>5.6</v>
      </c>
      <c r="Q275" s="13">
        <v>11.9</v>
      </c>
      <c r="R275" s="13">
        <v>0.7</v>
      </c>
      <c r="S275" s="13" t="s">
        <v>831</v>
      </c>
      <c r="T275" s="13" t="str">
        <f>_xlfn.DISPIMG("ID_BD8F4C1D7BBD4CDB8152C04DA54378C0",1)</f>
        <v>=DISPIMG("ID_BD8F4C1D7BBD4CDB8152C04DA54378C0",1)</v>
      </c>
      <c r="U275" s="66" t="s">
        <v>832</v>
      </c>
      <c r="V275" s="82" t="s">
        <v>29</v>
      </c>
      <c r="W275" s="52" t="s">
        <v>833</v>
      </c>
    </row>
    <row r="276" customHeight="1" spans="1:24">
      <c r="A276" s="117" t="s">
        <v>834</v>
      </c>
      <c r="B276" s="4">
        <v>48026921.02</v>
      </c>
      <c r="C276" s="4">
        <v>45510560.04</v>
      </c>
      <c r="D276" s="4">
        <v>0.5</v>
      </c>
      <c r="E276" s="4"/>
      <c r="F276" s="4">
        <f>(H276/B276-D276)/(1-D276)</f>
        <v>0.969009818485341</v>
      </c>
      <c r="G276" s="4">
        <f>100-100*F276</f>
        <v>3.09901815146591</v>
      </c>
      <c r="H276" s="4">
        <v>47282739.52</v>
      </c>
      <c r="I276" s="4">
        <f>100-100*H276/B276</f>
        <v>1.54950907573297</v>
      </c>
      <c r="K276" s="4">
        <v>2.6</v>
      </c>
      <c r="L276" s="7">
        <v>44803.3958333333</v>
      </c>
      <c r="M276" s="8">
        <v>22</v>
      </c>
      <c r="N276"/>
      <c r="O276"/>
      <c r="P276"/>
      <c r="Q276"/>
      <c r="R276"/>
      <c r="S276" t="s">
        <v>835</v>
      </c>
      <c r="T276" t="str">
        <f>_xlfn.DISPIMG("ID_9568186C25914BEEA8D1D31958AD2816",1)</f>
        <v>=DISPIMG("ID_9568186C25914BEEA8D1D31958AD2816",1)</v>
      </c>
      <c r="U276" s="13" t="s">
        <v>836</v>
      </c>
      <c r="V276" s="5" t="s">
        <v>581</v>
      </c>
      <c r="W276" s="5" t="s">
        <v>837</v>
      </c>
      <c r="X276"/>
    </row>
    <row r="277" customHeight="1" spans="1:24">
      <c r="A277" s="3" t="s">
        <v>838</v>
      </c>
      <c r="B277" s="4">
        <v>13956600.82</v>
      </c>
      <c r="C277" s="4"/>
      <c r="D277" s="4">
        <v>0.3</v>
      </c>
      <c r="E277" s="4"/>
      <c r="F277" s="4">
        <f>(H277/B277-D277)/(1-D277)</f>
        <v>0.931829406786541</v>
      </c>
      <c r="G277" s="4">
        <f>100-100*F277</f>
        <v>6.81705932134594</v>
      </c>
      <c r="H277" s="4">
        <v>13290599.99</v>
      </c>
      <c r="I277" s="4">
        <f>100-100*H277/B277</f>
        <v>4.77194152494218</v>
      </c>
      <c r="K277" s="4">
        <v>3.36</v>
      </c>
      <c r="L277" s="7">
        <v>44804.3958333333</v>
      </c>
      <c r="M277" s="8">
        <v>47</v>
      </c>
      <c r="N277"/>
      <c r="O277"/>
      <c r="P277"/>
      <c r="Q277"/>
      <c r="R277"/>
      <c r="S277" t="s">
        <v>839</v>
      </c>
      <c r="T277" t="str">
        <f>_xlfn.DISPIMG("ID_9568186C25914BEEA8D1D31958AD2816",1)</f>
        <v>=DISPIMG("ID_9568186C25914BEEA8D1D31958AD2816",1)</v>
      </c>
      <c r="U277" s="13" t="s">
        <v>836</v>
      </c>
      <c r="V277" s="5" t="s">
        <v>581</v>
      </c>
      <c r="W277" s="5" t="s">
        <v>840</v>
      </c>
      <c r="X277"/>
    </row>
    <row r="278" customHeight="1" spans="1:24">
      <c r="A278" s="117" t="s">
        <v>841</v>
      </c>
      <c r="B278" s="4">
        <v>43005189.03</v>
      </c>
      <c r="C278" s="4">
        <v>40407757.31</v>
      </c>
      <c r="D278" s="4">
        <v>0.5</v>
      </c>
      <c r="E278" s="4"/>
      <c r="F278" s="4">
        <f>(H278/B278-D278)/(1-D278)</f>
        <v>0.957378819129911</v>
      </c>
      <c r="G278" s="4">
        <f>100-100*F278</f>
        <v>4.26211808700889</v>
      </c>
      <c r="H278" s="4">
        <v>42088723.06</v>
      </c>
      <c r="I278" s="4">
        <f>100-100*H278/B278</f>
        <v>2.13105904350445</v>
      </c>
      <c r="K278" s="4">
        <v>2</v>
      </c>
      <c r="L278" s="7">
        <v>44804.3958333333</v>
      </c>
      <c r="M278" s="8">
        <v>44</v>
      </c>
      <c r="N278"/>
      <c r="O278"/>
      <c r="P278"/>
      <c r="Q278"/>
      <c r="R278"/>
      <c r="S278" t="s">
        <v>842</v>
      </c>
      <c r="T278" t="str">
        <f>_xlfn.DISPIMG("ID_9568186C25914BEEA8D1D31958AD2816",1)</f>
        <v>=DISPIMG("ID_9568186C25914BEEA8D1D31958AD2816",1)</v>
      </c>
      <c r="U278" s="13" t="s">
        <v>836</v>
      </c>
      <c r="V278" s="5" t="s">
        <v>581</v>
      </c>
      <c r="W278" s="40" t="s">
        <v>843</v>
      </c>
      <c r="X278"/>
    </row>
    <row r="279" customHeight="1" spans="1:24">
      <c r="A279" s="3" t="s">
        <v>844</v>
      </c>
      <c r="B279" s="4">
        <v>2670624.46</v>
      </c>
      <c r="C279" s="4"/>
      <c r="D279" s="4">
        <v>99.2</v>
      </c>
      <c r="H279" s="4">
        <v>2461167.38</v>
      </c>
      <c r="I279" s="4">
        <f>100-100*H279/B279</f>
        <v>7.84300013488232</v>
      </c>
      <c r="K279" s="4">
        <v>4.86</v>
      </c>
      <c r="L279" s="7">
        <v>44805.375</v>
      </c>
      <c r="M279" s="8">
        <v>163</v>
      </c>
      <c r="N279"/>
      <c r="O279"/>
      <c r="P279"/>
      <c r="Q279"/>
      <c r="R279"/>
      <c r="S279" t="s">
        <v>845</v>
      </c>
      <c r="T279" t="str">
        <f>_xlfn.DISPIMG("ID_B45AC5B0931F41358AA01BD5585B5788",1)</f>
        <v>=DISPIMG("ID_B45AC5B0931F41358AA01BD5585B5788",1)</v>
      </c>
      <c r="U279" t="s">
        <v>119</v>
      </c>
      <c r="V279" s="34" t="s">
        <v>846</v>
      </c>
      <c r="W279" s="34" t="s">
        <v>847</v>
      </c>
      <c r="X279"/>
    </row>
    <row r="280" customHeight="1" spans="1:24">
      <c r="A280" s="3" t="s">
        <v>848</v>
      </c>
      <c r="B280" s="4">
        <v>2090450.94</v>
      </c>
      <c r="D280" s="4">
        <v>98</v>
      </c>
      <c r="E280" s="4"/>
      <c r="F280" s="4"/>
      <c r="G280" s="4"/>
      <c r="H280" s="4">
        <v>1902937.49</v>
      </c>
      <c r="I280" s="4">
        <f>100-100*H280/B280</f>
        <v>8.97000003262454</v>
      </c>
      <c r="K280" s="4">
        <v>8.3</v>
      </c>
      <c r="L280" s="7">
        <v>44805.375</v>
      </c>
      <c r="M280" s="8">
        <v>145</v>
      </c>
      <c r="N280"/>
      <c r="O280"/>
      <c r="P280"/>
      <c r="Q280"/>
      <c r="R280"/>
      <c r="S280" t="s">
        <v>849</v>
      </c>
      <c r="T280" t="str">
        <f>_xlfn.DISPIMG("ID_B45AC5B0931F41358AA01BD5585B5788",1)</f>
        <v>=DISPIMG("ID_B45AC5B0931F41358AA01BD5585B5788",1)</v>
      </c>
      <c r="U280" t="s">
        <v>119</v>
      </c>
      <c r="V280" s="34" t="s">
        <v>846</v>
      </c>
      <c r="W280" s="5" t="s">
        <v>850</v>
      </c>
      <c r="X280"/>
    </row>
    <row r="281" customHeight="1" spans="1:24">
      <c r="A281" s="3" t="s">
        <v>851</v>
      </c>
      <c r="B281" s="4">
        <v>12132300.82</v>
      </c>
      <c r="D281" s="4">
        <v>101.6</v>
      </c>
      <c r="E281" s="4"/>
      <c r="F281" s="4"/>
      <c r="G281" s="4"/>
      <c r="H281" s="4">
        <v>11297007.07</v>
      </c>
      <c r="I281" s="4">
        <f>100-100*H281/B281</f>
        <v>6.8848750323024</v>
      </c>
      <c r="K281" s="4">
        <v>9.58</v>
      </c>
      <c r="L281" s="7">
        <v>44809.4583333333</v>
      </c>
      <c r="M281" s="8">
        <v>184</v>
      </c>
      <c r="N281"/>
      <c r="O281"/>
      <c r="P281"/>
      <c r="Q281"/>
      <c r="R281"/>
      <c r="S281" t="s">
        <v>852</v>
      </c>
      <c r="T281" t="str">
        <f>_xlfn.DISPIMG("ID_B45AC5B0931F41358AA01BD5585B5788",1)</f>
        <v>=DISPIMG("ID_B45AC5B0931F41358AA01BD5585B5788",1)</v>
      </c>
      <c r="U281" t="s">
        <v>119</v>
      </c>
      <c r="V281" s="126" t="s">
        <v>853</v>
      </c>
      <c r="W281" s="5" t="s">
        <v>854</v>
      </c>
      <c r="X281"/>
    </row>
    <row r="282" customHeight="1" spans="1:24">
      <c r="A282" s="3" t="s">
        <v>855</v>
      </c>
      <c r="B282" s="4">
        <v>3657912.02</v>
      </c>
      <c r="D282" s="4">
        <v>98</v>
      </c>
      <c r="H282" s="4">
        <v>3344081.36</v>
      </c>
      <c r="I282" s="4">
        <f>100-100*H282/B282</f>
        <v>8.57950268579724</v>
      </c>
      <c r="K282" s="4">
        <v>7.36</v>
      </c>
      <c r="L282" s="7">
        <v>44809.4583333333</v>
      </c>
      <c r="M282" s="8">
        <v>70</v>
      </c>
      <c r="N282"/>
      <c r="O282"/>
      <c r="P282"/>
      <c r="Q282"/>
      <c r="R282"/>
      <c r="S282" t="s">
        <v>856</v>
      </c>
      <c r="T282" t="str">
        <f>_xlfn.DISPIMG("ID_B45AC5B0931F41358AA01BD5585B5788",1)</f>
        <v>=DISPIMG("ID_B45AC5B0931F41358AA01BD5585B5788",1)</v>
      </c>
      <c r="U282" t="s">
        <v>119</v>
      </c>
      <c r="V282" s="126" t="s">
        <v>853</v>
      </c>
      <c r="W282" s="5" t="s">
        <v>854</v>
      </c>
      <c r="X282"/>
    </row>
    <row r="283" customHeight="1" spans="1:24">
      <c r="A283" s="3" t="s">
        <v>857</v>
      </c>
      <c r="B283" s="4">
        <v>1711708.18</v>
      </c>
      <c r="C283" s="4"/>
      <c r="D283" s="4">
        <v>98</v>
      </c>
      <c r="E283" s="4"/>
      <c r="F283" s="4"/>
      <c r="G283" s="4"/>
      <c r="H283" s="4">
        <v>1634681.31</v>
      </c>
      <c r="I283" s="4">
        <f>100-100*H283/B283</f>
        <v>4.50000011100022</v>
      </c>
      <c r="K283" s="4">
        <v>5.88</v>
      </c>
      <c r="L283" s="7">
        <v>44811.4583333333</v>
      </c>
      <c r="M283" s="8">
        <v>8</v>
      </c>
      <c r="N283"/>
      <c r="O283"/>
      <c r="P283"/>
      <c r="Q283"/>
      <c r="R283"/>
      <c r="S283" t="s">
        <v>858</v>
      </c>
      <c r="T283" t="str">
        <f>_xlfn.DISPIMG("ID_B45AC5B0931F41358AA01BD5585B5788",1)</f>
        <v>=DISPIMG("ID_B45AC5B0931F41358AA01BD5585B5788",1)</v>
      </c>
      <c r="U283" t="s">
        <v>119</v>
      </c>
      <c r="V283" s="18" t="s">
        <v>859</v>
      </c>
      <c r="W283" s="20"/>
      <c r="X283"/>
    </row>
    <row r="284" customHeight="1" spans="1:24">
      <c r="A284" s="3" t="s">
        <v>860</v>
      </c>
      <c r="B284" s="4">
        <v>4612306.69</v>
      </c>
      <c r="D284" s="4">
        <v>98.8</v>
      </c>
      <c r="E284" s="4"/>
      <c r="H284" s="4">
        <v>4267444.52</v>
      </c>
      <c r="I284" s="4">
        <f>100-100*H284/B284</f>
        <v>7.47699997373768</v>
      </c>
      <c r="K284" s="4">
        <v>9.3</v>
      </c>
      <c r="L284" s="7">
        <v>44812.3958333333</v>
      </c>
      <c r="M284" s="8">
        <v>333</v>
      </c>
      <c r="N284"/>
      <c r="O284"/>
      <c r="P284"/>
      <c r="Q284"/>
      <c r="R284"/>
      <c r="S284" t="s">
        <v>861</v>
      </c>
      <c r="T284" t="str">
        <f>_xlfn.DISPIMG("ID_B45AC5B0931F41358AA01BD5585B5788",1)</f>
        <v>=DISPIMG("ID_B45AC5B0931F41358AA01BD5585B5788",1)</v>
      </c>
      <c r="U284" t="s">
        <v>119</v>
      </c>
      <c r="V284" s="5" t="s">
        <v>464</v>
      </c>
      <c r="W284" s="20"/>
      <c r="X284"/>
    </row>
    <row r="285" customHeight="1" spans="1:23">
      <c r="A285" s="117" t="s">
        <v>862</v>
      </c>
      <c r="B285" s="4">
        <v>20526716.19</v>
      </c>
      <c r="C285" s="4">
        <v>19589445.17</v>
      </c>
      <c r="D285" s="4">
        <f>AVERAGE(O285:Q285)</f>
        <v>3.06666666666667</v>
      </c>
      <c r="E285" s="4">
        <v>0.3</v>
      </c>
      <c r="F285" s="4">
        <f>(C285-B285*(1-0.01*D285)*E285)/(B285*(1-E285))</f>
        <v>0.947912813154998</v>
      </c>
      <c r="G285" s="4">
        <f>100-100*F285</f>
        <v>5.2087186845002</v>
      </c>
      <c r="H285" s="4">
        <v>19594598.01</v>
      </c>
      <c r="I285" s="4">
        <f>100-100*H285/B285</f>
        <v>4.5409999893412</v>
      </c>
      <c r="K285" s="4">
        <v>6.4</v>
      </c>
      <c r="L285" s="7">
        <v>44813.4791666667</v>
      </c>
      <c r="M285" s="8">
        <v>125</v>
      </c>
      <c r="N285" s="112">
        <v>2</v>
      </c>
      <c r="O285" s="112">
        <v>3.4</v>
      </c>
      <c r="P285" s="112">
        <v>5.1</v>
      </c>
      <c r="Q285" s="112">
        <v>0.7</v>
      </c>
      <c r="R285" s="112">
        <v>0.3</v>
      </c>
      <c r="S285" s="61" t="s">
        <v>863</v>
      </c>
      <c r="T285" t="str">
        <f>_xlfn.DISPIMG("ID_39A08211ED6A4076AB89912F4CD96E32",1)</f>
        <v>=DISPIMG("ID_39A08211ED6A4076AB89912F4CD96E32",1)</v>
      </c>
      <c r="U285" s="66" t="s">
        <v>426</v>
      </c>
      <c r="V285" s="86" t="s">
        <v>59</v>
      </c>
      <c r="W285" s="55" t="s">
        <v>864</v>
      </c>
    </row>
    <row r="286" customHeight="1" spans="1:24">
      <c r="A286" s="3" t="s">
        <v>865</v>
      </c>
      <c r="B286" s="4">
        <v>2890267.28</v>
      </c>
      <c r="C286" s="4"/>
      <c r="D286" s="4"/>
      <c r="E286" s="4"/>
      <c r="F286" s="4"/>
      <c r="G286" s="4"/>
      <c r="H286" s="4">
        <v>2735088.83</v>
      </c>
      <c r="I286" s="4">
        <f>100-100*H286/B286</f>
        <v>5.36899999089357</v>
      </c>
      <c r="K286" s="4">
        <v>7.36</v>
      </c>
      <c r="L286" s="7">
        <v>44818.4583333333</v>
      </c>
      <c r="M286" s="8">
        <v>48</v>
      </c>
      <c r="N286"/>
      <c r="O286"/>
      <c r="P286"/>
      <c r="Q286"/>
      <c r="R286"/>
      <c r="S286" t="s">
        <v>866</v>
      </c>
      <c r="T286" t="str">
        <f>_xlfn.DISPIMG("ID_B45AC5B0931F41358AA01BD5585B5788",1)</f>
        <v>=DISPIMG("ID_B45AC5B0931F41358AA01BD5585B5788",1)</v>
      </c>
      <c r="U286" t="s">
        <v>119</v>
      </c>
      <c r="V286" s="126" t="s">
        <v>853</v>
      </c>
      <c r="W286" s="5" t="s">
        <v>867</v>
      </c>
      <c r="X286"/>
    </row>
    <row r="287" customHeight="1" spans="1:23">
      <c r="A287" s="3" t="s">
        <v>868</v>
      </c>
      <c r="B287" s="4">
        <v>8213927.32</v>
      </c>
      <c r="C287" s="4">
        <v>7493541.24</v>
      </c>
      <c r="D287" s="4">
        <f>AVERAGE(O287:Q287)</f>
        <v>9.36666666666667</v>
      </c>
      <c r="E287" s="4">
        <f>R287</f>
        <v>0.3</v>
      </c>
      <c r="F287" s="4">
        <f>(C287-B287*(1-0.01*D287)*E287)/(B287*(1-E287))</f>
        <v>0.914852855011627</v>
      </c>
      <c r="G287" s="4">
        <f>100-100*F287</f>
        <v>8.51471449883732</v>
      </c>
      <c r="H287" s="4">
        <v>7493547.4</v>
      </c>
      <c r="I287" s="4">
        <f>100-100*H287/B287</f>
        <v>8.77022515460972</v>
      </c>
      <c r="K287" s="4">
        <v>8.68</v>
      </c>
      <c r="L287" s="7">
        <v>44831.3958333333</v>
      </c>
      <c r="M287" s="8">
        <v>138</v>
      </c>
      <c r="N287" s="13">
        <v>3</v>
      </c>
      <c r="O287" s="13">
        <v>10.8</v>
      </c>
      <c r="P287" s="13">
        <v>7.7</v>
      </c>
      <c r="Q287" s="13">
        <v>9.6</v>
      </c>
      <c r="R287" s="13">
        <v>0.3</v>
      </c>
      <c r="S287" s="61" t="s">
        <v>869</v>
      </c>
      <c r="T287" s="13" t="str">
        <f>_xlfn.DISPIMG("ID_995273D54DAC4FB0A658266E8F0CD74B",1)</f>
        <v>=DISPIMG("ID_995273D54DAC4FB0A658266E8F0CD74B",1)</v>
      </c>
      <c r="U287" s="66" t="s">
        <v>870</v>
      </c>
      <c r="V287" s="82" t="s">
        <v>29</v>
      </c>
      <c r="W287" s="52" t="s">
        <v>871</v>
      </c>
    </row>
    <row r="288" customHeight="1" spans="1:24">
      <c r="A288" s="3" t="s">
        <v>872</v>
      </c>
      <c r="B288" s="4">
        <v>61276095.35</v>
      </c>
      <c r="C288" s="4">
        <v>60757809.67</v>
      </c>
      <c r="D288" s="4">
        <v>0.5</v>
      </c>
      <c r="F288" s="4">
        <f>(H288/B288-D288)/(1-D288)</f>
        <v>0.978098893013097</v>
      </c>
      <c r="G288" s="4">
        <f>100-100*F288</f>
        <v>2.19011069869029</v>
      </c>
      <c r="H288" s="4">
        <v>60605088.19</v>
      </c>
      <c r="I288" s="4">
        <f>100-100*H288/B288</f>
        <v>1.09505534934513</v>
      </c>
      <c r="K288" s="4">
        <v>1.6</v>
      </c>
      <c r="L288" s="7">
        <v>44831.4583333333</v>
      </c>
      <c r="M288" s="8">
        <v>8</v>
      </c>
      <c r="N288"/>
      <c r="O288"/>
      <c r="P288"/>
      <c r="Q288"/>
      <c r="R288"/>
      <c r="S288" t="s">
        <v>873</v>
      </c>
      <c r="T288" t="str">
        <f>_xlfn.DISPIMG("ID_C9547E7DF0AE4C3C9C86064B6746D9B9",1)</f>
        <v>=DISPIMG("ID_C9547E7DF0AE4C3C9C86064B6746D9B9",1)</v>
      </c>
      <c r="U288" s="13" t="s">
        <v>874</v>
      </c>
      <c r="V288" s="5" t="s">
        <v>581</v>
      </c>
      <c r="W288" s="5" t="s">
        <v>875</v>
      </c>
      <c r="X288"/>
    </row>
    <row r="289" customHeight="1" spans="1:24">
      <c r="A289" s="3" t="s">
        <v>876</v>
      </c>
      <c r="B289" s="4">
        <v>4572130</v>
      </c>
      <c r="D289" s="4">
        <v>101.2</v>
      </c>
      <c r="H289" s="4">
        <v>4325783.64</v>
      </c>
      <c r="I289" s="4">
        <f>100-100*H289/B289</f>
        <v>5.38799990376478</v>
      </c>
      <c r="K289" s="4">
        <v>7.66</v>
      </c>
      <c r="L289" s="7">
        <v>44833.3958333333</v>
      </c>
      <c r="M289" s="8">
        <v>236</v>
      </c>
      <c r="N289"/>
      <c r="O289"/>
      <c r="P289"/>
      <c r="Q289"/>
      <c r="R289"/>
      <c r="S289" t="s">
        <v>877</v>
      </c>
      <c r="T289" t="str">
        <f>_xlfn.DISPIMG("ID_B45AC5B0931F41358AA01BD5585B5788",1)</f>
        <v>=DISPIMG("ID_B45AC5B0931F41358AA01BD5585B5788",1)</v>
      </c>
      <c r="U289" t="s">
        <v>119</v>
      </c>
      <c r="V289" s="5" t="s">
        <v>539</v>
      </c>
      <c r="W289" s="5" t="s">
        <v>878</v>
      </c>
      <c r="X289"/>
    </row>
    <row r="290" customHeight="1" spans="1:24">
      <c r="A290" s="3" t="s">
        <v>879</v>
      </c>
      <c r="B290" s="4">
        <v>2949943.52</v>
      </c>
      <c r="C290" s="4"/>
      <c r="D290" s="4">
        <v>98</v>
      </c>
      <c r="E290" s="4"/>
      <c r="F290" s="4"/>
      <c r="G290" s="4"/>
      <c r="H290" s="4">
        <v>2637984.32</v>
      </c>
      <c r="I290" s="4">
        <f>100-100*H290/B290</f>
        <v>10.5750906037686</v>
      </c>
      <c r="K290" s="4">
        <v>11.6</v>
      </c>
      <c r="L290" s="7">
        <v>44834.375</v>
      </c>
      <c r="M290" s="8">
        <v>179</v>
      </c>
      <c r="N290"/>
      <c r="O290"/>
      <c r="P290"/>
      <c r="Q290"/>
      <c r="R290"/>
      <c r="S290" t="s">
        <v>880</v>
      </c>
      <c r="T290" t="str">
        <f>_xlfn.DISPIMG("ID_A5C5C48DA77F4825959FA26444F402F2",1)</f>
        <v>=DISPIMG("ID_A5C5C48DA77F4825959FA26444F402F2",1)</v>
      </c>
      <c r="U290" t="s">
        <v>162</v>
      </c>
      <c r="V290" s="5" t="s">
        <v>402</v>
      </c>
      <c r="W290" s="36" t="s">
        <v>881</v>
      </c>
      <c r="X290"/>
    </row>
    <row r="291" customHeight="1" spans="1:23">
      <c r="A291" s="117" t="s">
        <v>882</v>
      </c>
      <c r="B291" s="4">
        <v>30626054.79</v>
      </c>
      <c r="C291" s="4">
        <v>28850133.15</v>
      </c>
      <c r="D291" s="4">
        <f>AVERAGE(O291:Q291)</f>
        <v>6.1</v>
      </c>
      <c r="E291" s="4">
        <v>0.7</v>
      </c>
      <c r="F291" s="4">
        <f>(C291-B291*(1-0.01*D291)*E291)/(B291*(1-E291))</f>
        <v>0.949042397214036</v>
      </c>
      <c r="G291" s="4">
        <f>100-100*F291</f>
        <v>5.09576027859642</v>
      </c>
      <c r="H291" s="4">
        <v>28854337.52</v>
      </c>
      <c r="I291" s="4">
        <f>100-100*H291/B291</f>
        <v>5.78500000130117</v>
      </c>
      <c r="K291" s="4">
        <v>5.6</v>
      </c>
      <c r="L291" s="7">
        <v>44842.4791666667</v>
      </c>
      <c r="M291" s="8">
        <v>124</v>
      </c>
      <c r="N291" s="112">
        <v>4</v>
      </c>
      <c r="O291" s="112">
        <v>8.5</v>
      </c>
      <c r="P291" s="112">
        <v>9.2</v>
      </c>
      <c r="Q291" s="112">
        <v>0.6</v>
      </c>
      <c r="R291" s="112">
        <v>0.7</v>
      </c>
      <c r="S291" s="61" t="s">
        <v>883</v>
      </c>
      <c r="T291" t="str">
        <f>_xlfn.DISPIMG("ID_39A08211ED6A4076AB89912F4CD96E32",1)</f>
        <v>=DISPIMG("ID_39A08211ED6A4076AB89912F4CD96E32",1)</v>
      </c>
      <c r="U291" s="66" t="s">
        <v>426</v>
      </c>
      <c r="V291" s="86" t="s">
        <v>59</v>
      </c>
      <c r="W291" s="52" t="s">
        <v>884</v>
      </c>
    </row>
    <row r="292" customHeight="1" spans="1:24">
      <c r="A292" s="3" t="s">
        <v>885</v>
      </c>
      <c r="B292" s="4">
        <v>44704210.49</v>
      </c>
      <c r="C292" s="4"/>
      <c r="D292" s="4">
        <v>0.5</v>
      </c>
      <c r="E292" s="4"/>
      <c r="F292" s="4">
        <f>(H292/B292-D292)/(1-D292)</f>
        <v>0.971057096729414</v>
      </c>
      <c r="G292" s="4">
        <f>100-100*F292</f>
        <v>2.89429032705864</v>
      </c>
      <c r="H292" s="4">
        <v>44057275.67</v>
      </c>
      <c r="I292" s="4">
        <f>100-100*H292/B292</f>
        <v>1.44714516352931</v>
      </c>
      <c r="K292" s="4">
        <v>4.8</v>
      </c>
      <c r="L292" s="7">
        <v>44848.375</v>
      </c>
      <c r="M292" s="8">
        <v>28</v>
      </c>
      <c r="N292"/>
      <c r="O292"/>
      <c r="P292"/>
      <c r="Q292"/>
      <c r="R292"/>
      <c r="S292" t="s">
        <v>886</v>
      </c>
      <c r="T292" t="str">
        <f>_xlfn.DISPIMG("ID_9568186C25914BEEA8D1D31958AD2816",1)</f>
        <v>=DISPIMG("ID_9568186C25914BEEA8D1D31958AD2816",1)</v>
      </c>
      <c r="U292" s="13" t="s">
        <v>836</v>
      </c>
      <c r="V292" s="5" t="s">
        <v>581</v>
      </c>
      <c r="W292" s="5" t="s">
        <v>887</v>
      </c>
      <c r="X292"/>
    </row>
    <row r="293" customHeight="1" spans="1:24">
      <c r="A293" s="3" t="s">
        <v>888</v>
      </c>
      <c r="B293" s="4">
        <v>10165689.4</v>
      </c>
      <c r="D293" s="4">
        <f>AVERAGE(O293:Q293)</f>
        <v>8.7</v>
      </c>
      <c r="E293" s="4">
        <f>R293</f>
        <v>0.5</v>
      </c>
      <c r="H293" s="4">
        <v>9373487.39</v>
      </c>
      <c r="I293" s="4">
        <f>100-100*H293/B293</f>
        <v>7.79290000735219</v>
      </c>
      <c r="K293" s="4">
        <v>9.4</v>
      </c>
      <c r="L293" s="7">
        <v>44852.3958333333</v>
      </c>
      <c r="M293" s="8">
        <v>135</v>
      </c>
      <c r="N293">
        <v>2</v>
      </c>
      <c r="O293">
        <v>0.9</v>
      </c>
      <c r="P293">
        <v>10.8</v>
      </c>
      <c r="Q293">
        <v>14.4</v>
      </c>
      <c r="R293">
        <v>0.5</v>
      </c>
      <c r="S293" t="s">
        <v>889</v>
      </c>
      <c r="T293" t="str">
        <f>_xlfn.DISPIMG("ID_8594350670894A83994259256103CCA3",1)</f>
        <v>=DISPIMG("ID_8594350670894A83994259256103CCA3",1)</v>
      </c>
      <c r="U293" s="120" t="s">
        <v>623</v>
      </c>
      <c r="V293" s="82" t="s">
        <v>29</v>
      </c>
      <c r="W293" s="20" t="s">
        <v>890</v>
      </c>
      <c r="X293"/>
    </row>
    <row r="294" customHeight="1" spans="1:23">
      <c r="A294" s="3" t="s">
        <v>891</v>
      </c>
      <c r="B294" s="4">
        <v>6890293.81</v>
      </c>
      <c r="C294" s="4">
        <v>6342786.12</v>
      </c>
      <c r="D294" s="4">
        <f>AVERAGE(O294:Q294)</f>
        <v>8.53333333333333</v>
      </c>
      <c r="E294" s="4">
        <f>R294</f>
        <v>0.5</v>
      </c>
      <c r="F294" s="4">
        <f>(C294-B294*(1-0.01*D294)*E294)/(B294*(1-E294))</f>
        <v>0.926411898312553</v>
      </c>
      <c r="G294" s="4">
        <f>100-100*F294</f>
        <v>7.3588101687447</v>
      </c>
      <c r="H294" s="4">
        <v>6344582.54</v>
      </c>
      <c r="I294" s="4">
        <f>100-100*H294/B294</f>
        <v>7.92000000359926</v>
      </c>
      <c r="K294" s="4">
        <v>7.55</v>
      </c>
      <c r="L294" s="7">
        <v>44853.3958333333</v>
      </c>
      <c r="M294" s="8">
        <v>136</v>
      </c>
      <c r="N294" s="13">
        <v>4</v>
      </c>
      <c r="O294" s="13">
        <v>3.5</v>
      </c>
      <c r="P294" s="13">
        <v>10.4</v>
      </c>
      <c r="Q294" s="13">
        <v>11.7</v>
      </c>
      <c r="R294" s="13">
        <v>0.5</v>
      </c>
      <c r="S294" s="61" t="s">
        <v>892</v>
      </c>
      <c r="T294" t="str">
        <f>_xlfn.DISPIMG("ID_8594350670894A83994259256103CCA3",1)</f>
        <v>=DISPIMG("ID_8594350670894A83994259256103CCA3",1)</v>
      </c>
      <c r="U294" s="66" t="s">
        <v>623</v>
      </c>
      <c r="V294" s="82" t="s">
        <v>29</v>
      </c>
      <c r="W294" s="67" t="s">
        <v>893</v>
      </c>
    </row>
    <row r="295" customHeight="1" spans="1:24">
      <c r="A295" s="3" t="s">
        <v>894</v>
      </c>
      <c r="B295" s="4">
        <v>31820798.08</v>
      </c>
      <c r="C295" s="4"/>
      <c r="D295" s="4">
        <v>0.3</v>
      </c>
      <c r="E295" s="4"/>
      <c r="F295" s="4">
        <f>(H295/B295-D295)/(1-D295)</f>
        <v>0.976855193947417</v>
      </c>
      <c r="G295" s="4">
        <f>100-100*F295</f>
        <v>2.31448060525828</v>
      </c>
      <c r="H295" s="4">
        <v>31305257.74</v>
      </c>
      <c r="I295" s="4">
        <f>100-100*H295/B295</f>
        <v>1.62013642368079</v>
      </c>
      <c r="K295" s="4">
        <v>1.36</v>
      </c>
      <c r="L295" s="7">
        <v>44855.375</v>
      </c>
      <c r="M295" s="8">
        <v>57</v>
      </c>
      <c r="N295"/>
      <c r="O295"/>
      <c r="P295"/>
      <c r="Q295"/>
      <c r="R295"/>
      <c r="S295" t="s">
        <v>895</v>
      </c>
      <c r="T295" t="str">
        <f>_xlfn.DISPIMG("ID_ABE4F101910E4DB9A51FFD1D3CFD0491",1)</f>
        <v>=DISPIMG("ID_ABE4F101910E4DB9A51FFD1D3CFD0491",1)</v>
      </c>
      <c r="U295" s="13" t="s">
        <v>896</v>
      </c>
      <c r="V295" s="5" t="s">
        <v>581</v>
      </c>
      <c r="W295" s="5" t="s">
        <v>897</v>
      </c>
      <c r="X295"/>
    </row>
    <row r="296" customHeight="1" spans="1:24">
      <c r="A296" s="3" t="s">
        <v>898</v>
      </c>
      <c r="B296" s="4">
        <v>7609230.38</v>
      </c>
      <c r="C296" s="4">
        <v>7315405.02</v>
      </c>
      <c r="D296" s="4">
        <v>0.3</v>
      </c>
      <c r="E296" s="4"/>
      <c r="F296" s="4">
        <f>(H296/B296-D296)/(1-D296)</f>
        <v>0.944714284908122</v>
      </c>
      <c r="G296" s="4">
        <f>100-100*F296</f>
        <v>5.5285715091878</v>
      </c>
      <c r="H296" s="4">
        <v>7314753.16</v>
      </c>
      <c r="I296" s="4">
        <f>100-100*H296/B296</f>
        <v>3.87000005643146</v>
      </c>
      <c r="K296" s="4">
        <v>3.3</v>
      </c>
      <c r="L296" s="7">
        <v>44855.4583333333</v>
      </c>
      <c r="M296" s="8">
        <v>94</v>
      </c>
      <c r="N296"/>
      <c r="O296"/>
      <c r="P296"/>
      <c r="Q296"/>
      <c r="R296"/>
      <c r="S296" t="s">
        <v>899</v>
      </c>
      <c r="T296" s="13" t="str">
        <f>_xlfn.DISPIMG("ID_5C1B5B8EA2164BF49185CA64500D4BE4",1)</f>
        <v>=DISPIMG("ID_5C1B5B8EA2164BF49185CA64500D4BE4",1)</v>
      </c>
      <c r="U296" s="13" t="s">
        <v>189</v>
      </c>
      <c r="V296" s="5" t="s">
        <v>581</v>
      </c>
      <c r="W296" s="5" t="s">
        <v>900</v>
      </c>
      <c r="X296"/>
    </row>
    <row r="297" customHeight="1" spans="1:24">
      <c r="A297" s="117" t="s">
        <v>901</v>
      </c>
      <c r="B297" s="4">
        <v>9721538.55</v>
      </c>
      <c r="C297" s="4"/>
      <c r="D297" s="4">
        <v>100.4</v>
      </c>
      <c r="E297" s="4"/>
      <c r="F297" s="4"/>
      <c r="G297" s="4"/>
      <c r="H297" s="4">
        <v>9119724.21</v>
      </c>
      <c r="I297" s="4">
        <f>100-100*H297/B297</f>
        <v>6.19052567558866</v>
      </c>
      <c r="K297" s="4">
        <v>6.8</v>
      </c>
      <c r="L297" s="7">
        <v>44859.375</v>
      </c>
      <c r="M297" s="8">
        <v>861</v>
      </c>
      <c r="N297"/>
      <c r="O297"/>
      <c r="P297"/>
      <c r="Q297"/>
      <c r="R297"/>
      <c r="S297" t="s">
        <v>902</v>
      </c>
      <c r="T297" t="str">
        <f>_xlfn.DISPIMG("ID_B45AC5B0931F41358AA01BD5585B5788",1)</f>
        <v>=DISPIMG("ID_B45AC5B0931F41358AA01BD5585B5788",1)</v>
      </c>
      <c r="U297" t="s">
        <v>119</v>
      </c>
      <c r="V297" s="5" t="s">
        <v>539</v>
      </c>
      <c r="W297" s="20"/>
      <c r="X297"/>
    </row>
    <row r="298" customHeight="1" spans="1:24">
      <c r="A298" s="3" t="s">
        <v>903</v>
      </c>
      <c r="B298" s="4">
        <v>16504012.36</v>
      </c>
      <c r="H298" s="4">
        <v>15682277.58</v>
      </c>
      <c r="I298" s="4">
        <f>100-100*H298/B298</f>
        <v>4.97900002784534</v>
      </c>
      <c r="K298" s="4">
        <v>8.3</v>
      </c>
      <c r="L298" s="7">
        <v>44866.3958333333</v>
      </c>
      <c r="M298" s="8">
        <v>129</v>
      </c>
      <c r="N298" s="111"/>
      <c r="O298" s="111"/>
      <c r="P298" s="111"/>
      <c r="Q298" s="111"/>
      <c r="R298" s="111"/>
      <c r="S298" s="35" t="s">
        <v>904</v>
      </c>
      <c r="T298" t="str">
        <f>_xlfn.DISPIMG("ID_39A08211ED6A4076AB89912F4CD96E32",1)</f>
        <v>=DISPIMG("ID_39A08211ED6A4076AB89912F4CD96E32",1)</v>
      </c>
      <c r="U298" s="120" t="s">
        <v>426</v>
      </c>
      <c r="V298" s="86" t="s">
        <v>59</v>
      </c>
      <c r="W298" s="5" t="s">
        <v>905</v>
      </c>
      <c r="X298"/>
    </row>
    <row r="299" customHeight="1" spans="1:24">
      <c r="A299" s="117" t="s">
        <v>906</v>
      </c>
      <c r="B299" s="4">
        <v>802507.66</v>
      </c>
      <c r="C299" s="4">
        <v>757435.722</v>
      </c>
      <c r="D299" s="4">
        <v>98.4</v>
      </c>
      <c r="E299" s="4"/>
      <c r="F299" s="4"/>
      <c r="G299" s="4"/>
      <c r="H299" s="4">
        <v>785757</v>
      </c>
      <c r="I299" s="4">
        <f>100-100*H299/B299</f>
        <v>2.08728973378273</v>
      </c>
      <c r="K299" s="4">
        <v>3.2</v>
      </c>
      <c r="L299" s="7">
        <v>44866.3958333333</v>
      </c>
      <c r="M299" s="8">
        <v>4</v>
      </c>
      <c r="N299"/>
      <c r="O299"/>
      <c r="P299"/>
      <c r="Q299"/>
      <c r="R299"/>
      <c r="S299" t="s">
        <v>907</v>
      </c>
      <c r="T299" s="13" t="str">
        <f>_xlfn.DISPIMG("ID_87ED0F4657E5454A80DCDDB38A3AE5EE",1)</f>
        <v>=DISPIMG("ID_87ED0F4657E5454A80DCDDB38A3AE5EE",1)</v>
      </c>
      <c r="U299" s="13" t="s">
        <v>908</v>
      </c>
      <c r="V299" s="19" t="s">
        <v>909</v>
      </c>
      <c r="W299"/>
      <c r="X299"/>
    </row>
    <row r="300" customHeight="1" spans="1:24">
      <c r="A300" s="3" t="s">
        <v>910</v>
      </c>
      <c r="B300" s="4">
        <v>5498924.06</v>
      </c>
      <c r="C300" s="4">
        <v>5150476.13</v>
      </c>
      <c r="D300" s="4">
        <v>101.6</v>
      </c>
      <c r="H300" s="4">
        <v>5149007.08</v>
      </c>
      <c r="I300" s="4">
        <f>100-100*H300/B300</f>
        <v>6.36337174658127</v>
      </c>
      <c r="K300" s="4">
        <v>9.6</v>
      </c>
      <c r="L300" s="7">
        <v>44866.4583333333</v>
      </c>
      <c r="M300" s="8">
        <v>107</v>
      </c>
      <c r="N300"/>
      <c r="O300"/>
      <c r="P300"/>
      <c r="Q300"/>
      <c r="R300"/>
      <c r="S300" t="s">
        <v>911</v>
      </c>
      <c r="T300" t="str">
        <f>_xlfn.DISPIMG("ID_B45AC5B0931F41358AA01BD5585B5788",1)</f>
        <v>=DISPIMG("ID_B45AC5B0931F41358AA01BD5585B5788",1)</v>
      </c>
      <c r="U300" t="s">
        <v>119</v>
      </c>
      <c r="V300" s="5" t="s">
        <v>912</v>
      </c>
      <c r="W300" s="20"/>
      <c r="X300"/>
    </row>
    <row r="301" customHeight="1" spans="1:24">
      <c r="A301" s="3" t="s">
        <v>913</v>
      </c>
      <c r="B301" s="4">
        <v>5912834.83</v>
      </c>
      <c r="C301" s="4">
        <v>5007063.958</v>
      </c>
      <c r="D301" s="4">
        <v>99.2</v>
      </c>
      <c r="E301" s="4"/>
      <c r="F301" s="4"/>
      <c r="G301" s="4"/>
      <c r="H301" s="4">
        <v>5414271.72</v>
      </c>
      <c r="I301" s="4">
        <f>100-100*H301/B301</f>
        <v>8.43187953552221</v>
      </c>
      <c r="K301" s="4">
        <v>7.6</v>
      </c>
      <c r="L301" s="7">
        <v>44866.4583333333</v>
      </c>
      <c r="M301" s="8">
        <v>107</v>
      </c>
      <c r="N301"/>
      <c r="O301"/>
      <c r="P301"/>
      <c r="Q301"/>
      <c r="R301"/>
      <c r="S301" t="s">
        <v>914</v>
      </c>
      <c r="T301" t="str">
        <f>_xlfn.DISPIMG("ID_B45AC5B0931F41358AA01BD5585B5788",1)</f>
        <v>=DISPIMG("ID_B45AC5B0931F41358AA01BD5585B5788",1)</v>
      </c>
      <c r="U301" t="s">
        <v>119</v>
      </c>
      <c r="V301" s="5" t="s">
        <v>912</v>
      </c>
      <c r="W301" s="127" t="s">
        <v>915</v>
      </c>
      <c r="X301"/>
    </row>
    <row r="302" customHeight="1" spans="1:24">
      <c r="A302" s="117" t="s">
        <v>916</v>
      </c>
      <c r="B302" s="4">
        <v>10256114.18</v>
      </c>
      <c r="C302" s="4"/>
      <c r="D302" s="4">
        <f>AVERAGE(O302:Q302)</f>
        <v>8.83333333333333</v>
      </c>
      <c r="E302" s="4">
        <f>R302</f>
        <v>0.9</v>
      </c>
      <c r="H302" s="4">
        <v>9366909.07</v>
      </c>
      <c r="I302" s="4">
        <f>100-100*H302/B302</f>
        <v>8.67000010329448</v>
      </c>
      <c r="K302" s="4">
        <v>7.5</v>
      </c>
      <c r="L302" s="7">
        <v>44869.4583333333</v>
      </c>
      <c r="M302" s="8">
        <v>135</v>
      </c>
      <c r="N302">
        <v>4</v>
      </c>
      <c r="O302">
        <v>7.9</v>
      </c>
      <c r="P302">
        <v>13.9</v>
      </c>
      <c r="Q302">
        <v>4.7</v>
      </c>
      <c r="R302">
        <v>0.9</v>
      </c>
      <c r="S302" t="s">
        <v>917</v>
      </c>
      <c r="T302" t="str">
        <f>_xlfn.DISPIMG("ID_8594350670894A83994259256103CCA3",1)</f>
        <v>=DISPIMG("ID_8594350670894A83994259256103CCA3",1)</v>
      </c>
      <c r="U302" s="120" t="s">
        <v>623</v>
      </c>
      <c r="V302" s="82" t="s">
        <v>29</v>
      </c>
      <c r="W302" s="31" t="s">
        <v>918</v>
      </c>
      <c r="X302"/>
    </row>
    <row r="303" customHeight="1" spans="1:24">
      <c r="A303" s="117" t="s">
        <v>919</v>
      </c>
      <c r="B303" s="4">
        <v>12589034.91</v>
      </c>
      <c r="C303" s="4"/>
      <c r="D303" s="4">
        <f>AVERAGE(O303:Q303)</f>
        <v>2.96666666666667</v>
      </c>
      <c r="E303" s="4">
        <f>R303</f>
        <v>0.5</v>
      </c>
      <c r="H303" s="4">
        <v>11942311.01</v>
      </c>
      <c r="I303" s="4">
        <f>100-100*H303/B303</f>
        <v>5.13719998890686</v>
      </c>
      <c r="K303" s="4">
        <v>7.66</v>
      </c>
      <c r="L303" s="7">
        <v>44869.4583333333</v>
      </c>
      <c r="M303" s="8">
        <v>132</v>
      </c>
      <c r="N303">
        <v>2</v>
      </c>
      <c r="O303">
        <v>5.6</v>
      </c>
      <c r="P303">
        <v>2.4</v>
      </c>
      <c r="Q303">
        <v>0.9</v>
      </c>
      <c r="R303">
        <v>0.5</v>
      </c>
      <c r="S303" t="s">
        <v>920</v>
      </c>
      <c r="T303" t="str">
        <f>_xlfn.DISPIMG("ID_8594350670894A83994259256103CCA3",1)</f>
        <v>=DISPIMG("ID_8594350670894A83994259256103CCA3",1)</v>
      </c>
      <c r="U303" s="120" t="s">
        <v>623</v>
      </c>
      <c r="V303" s="82" t="s">
        <v>29</v>
      </c>
      <c r="W303" s="31" t="s">
        <v>921</v>
      </c>
      <c r="X303"/>
    </row>
    <row r="304" customHeight="1" spans="1:24">
      <c r="A304" s="3" t="s">
        <v>922</v>
      </c>
      <c r="B304" s="4">
        <v>8278723.1</v>
      </c>
      <c r="C304" s="4"/>
      <c r="D304" s="4">
        <f>AVERAGE(O304:Q304)</f>
        <v>8.66666666666667</v>
      </c>
      <c r="E304" s="4">
        <f>R304</f>
        <v>0.1</v>
      </c>
      <c r="H304" s="4">
        <v>7658232.78</v>
      </c>
      <c r="I304" s="4">
        <f>100-100*H304/B304</f>
        <v>7.49500028573246</v>
      </c>
      <c r="K304" s="4">
        <v>7.88</v>
      </c>
      <c r="L304" s="7">
        <v>44869.4583333333</v>
      </c>
      <c r="M304" s="8">
        <v>129</v>
      </c>
      <c r="N304">
        <v>3</v>
      </c>
      <c r="O304">
        <v>8.8</v>
      </c>
      <c r="P304">
        <v>14.7</v>
      </c>
      <c r="Q304">
        <v>2.5</v>
      </c>
      <c r="R304">
        <v>0.1</v>
      </c>
      <c r="S304" t="s">
        <v>923</v>
      </c>
      <c r="T304" t="str">
        <f>_xlfn.DISPIMG("ID_8594350670894A83994259256103CCA3",1)</f>
        <v>=DISPIMG("ID_8594350670894A83994259256103CCA3",1)</v>
      </c>
      <c r="U304" s="120" t="s">
        <v>623</v>
      </c>
      <c r="V304" s="82" t="s">
        <v>29</v>
      </c>
      <c r="W304" s="5" t="s">
        <v>924</v>
      </c>
      <c r="X304"/>
    </row>
    <row r="305" customHeight="1" spans="1:23">
      <c r="A305" s="3" t="s">
        <v>925</v>
      </c>
      <c r="B305" s="4">
        <v>1919125.58</v>
      </c>
      <c r="C305" s="4">
        <v>1792037</v>
      </c>
      <c r="D305" s="4">
        <f>AVERAGE(O305:Q305)</f>
        <v>6.53333333333333</v>
      </c>
      <c r="E305" s="4">
        <f>R305</f>
        <v>0.9</v>
      </c>
      <c r="F305" s="4">
        <f>(C305-B305*(1-0.01*D305)*E305)/(B305*(1-E305))</f>
        <v>0.92577871899347</v>
      </c>
      <c r="G305" s="4">
        <f>100-100*F305</f>
        <v>7.42212810065298</v>
      </c>
      <c r="H305" s="4">
        <v>1791448.29</v>
      </c>
      <c r="I305" s="4">
        <f>100-100*H305/B305</f>
        <v>6.65288875989033</v>
      </c>
      <c r="K305" s="4">
        <v>6.8</v>
      </c>
      <c r="L305" s="7">
        <v>44872.4583333333</v>
      </c>
      <c r="M305" s="8">
        <v>92</v>
      </c>
      <c r="N305" s="13">
        <v>1</v>
      </c>
      <c r="O305" s="13">
        <v>5.2</v>
      </c>
      <c r="P305" s="13">
        <v>2.1</v>
      </c>
      <c r="Q305" s="13">
        <v>12.3</v>
      </c>
      <c r="R305" s="13">
        <v>0.9</v>
      </c>
      <c r="S305" s="61" t="s">
        <v>926</v>
      </c>
      <c r="T305" s="13" t="str">
        <f>_xlfn.DISPIMG("ID_4DE79EEEAC6E4BB08EF88A1160DDB7BF",1)</f>
        <v>=DISPIMG("ID_4DE79EEEAC6E4BB08EF88A1160DDB7BF",1)</v>
      </c>
      <c r="U305" s="66" t="s">
        <v>927</v>
      </c>
      <c r="V305" s="82" t="s">
        <v>29</v>
      </c>
      <c r="W305" s="52" t="s">
        <v>928</v>
      </c>
    </row>
    <row r="306" customHeight="1" spans="1:24">
      <c r="A306" s="3" t="s">
        <v>929</v>
      </c>
      <c r="B306" s="4">
        <v>47983932.35</v>
      </c>
      <c r="D306" s="4">
        <f>AVERAGE(O306:Q306)</f>
        <v>9.56666666666667</v>
      </c>
      <c r="E306" s="4">
        <f>R306</f>
        <v>0.5</v>
      </c>
      <c r="H306" s="4">
        <v>43953282.03</v>
      </c>
      <c r="I306" s="4">
        <f>100-100*H306/B306</f>
        <v>8.40000000541848</v>
      </c>
      <c r="K306" s="4">
        <v>7.3</v>
      </c>
      <c r="L306" s="7">
        <v>44874.4583333333</v>
      </c>
      <c r="M306" s="8">
        <v>121</v>
      </c>
      <c r="N306">
        <v>4</v>
      </c>
      <c r="O306">
        <v>14.1</v>
      </c>
      <c r="P306">
        <v>7.9</v>
      </c>
      <c r="Q306">
        <v>6.7</v>
      </c>
      <c r="R306">
        <v>0.5</v>
      </c>
      <c r="S306" s="35" t="s">
        <v>930</v>
      </c>
      <c r="T306" s="13" t="str">
        <f>_xlfn.DISPIMG("ID_B376D0B5325E489DA62C0D9C9AF66CF5",1)</f>
        <v>=DISPIMG("ID_B376D0B5325E489DA62C0D9C9AF66CF5",1)</v>
      </c>
      <c r="U306" s="120" t="s">
        <v>753</v>
      </c>
      <c r="V306" s="82" t="s">
        <v>29</v>
      </c>
      <c r="W306" s="18" t="s">
        <v>931</v>
      </c>
      <c r="X306"/>
    </row>
    <row r="307" customHeight="1" spans="1:24">
      <c r="A307" s="117" t="s">
        <v>932</v>
      </c>
      <c r="B307" s="4">
        <v>37476362.19</v>
      </c>
      <c r="C307" s="4"/>
      <c r="D307" s="4">
        <f>AVERAGE(O307:Q307)</f>
        <v>8.43333333333333</v>
      </c>
      <c r="E307" s="4">
        <v>0.9</v>
      </c>
      <c r="F307" s="4"/>
      <c r="G307" s="4"/>
      <c r="H307" s="4">
        <v>34321976.78</v>
      </c>
      <c r="I307" s="4">
        <f>100-100*H307/B307</f>
        <v>8.41700001192137</v>
      </c>
      <c r="K307" s="4">
        <v>5.5</v>
      </c>
      <c r="L307" s="7">
        <v>44875.4583333333</v>
      </c>
      <c r="M307" s="8">
        <v>126</v>
      </c>
      <c r="N307" s="111">
        <v>2</v>
      </c>
      <c r="O307" s="111">
        <v>7.4</v>
      </c>
      <c r="P307" s="111">
        <v>8</v>
      </c>
      <c r="Q307" s="111">
        <v>9.9</v>
      </c>
      <c r="R307" s="111">
        <v>0.9</v>
      </c>
      <c r="S307" s="35" t="s">
        <v>933</v>
      </c>
      <c r="T307" t="str">
        <f>_xlfn.DISPIMG("ID_314B68A0415F43F985B023E0395B141C",1)</f>
        <v>=DISPIMG("ID_314B68A0415F43F985B023E0395B141C",1)</v>
      </c>
      <c r="U307" s="120" t="s">
        <v>467</v>
      </c>
      <c r="V307" s="86" t="s">
        <v>59</v>
      </c>
      <c r="W307" s="5" t="s">
        <v>934</v>
      </c>
      <c r="X307"/>
    </row>
    <row r="308" customHeight="1" spans="1:23">
      <c r="A308" s="3" t="s">
        <v>935</v>
      </c>
      <c r="B308" s="4">
        <v>3044027.15</v>
      </c>
      <c r="C308" s="4">
        <v>2778283.58</v>
      </c>
      <c r="D308" s="4">
        <f>AVERAGE(O308:Q308)</f>
        <v>8.73333333333333</v>
      </c>
      <c r="F308" s="4">
        <f>(C308-B308*(1-0.01*D308)*E308)/(B308*(1-E308))</f>
        <v>0.91270000006406</v>
      </c>
      <c r="G308" s="4">
        <f>100-100*F308</f>
        <v>8.72999999359401</v>
      </c>
      <c r="H308" s="4">
        <v>2861044.31</v>
      </c>
      <c r="I308" s="4">
        <f>100-100*H308/B308</f>
        <v>6.01120919700075</v>
      </c>
      <c r="K308" s="4">
        <v>5.3</v>
      </c>
      <c r="L308" s="7">
        <v>44876.4583333333</v>
      </c>
      <c r="M308" s="8">
        <v>3</v>
      </c>
      <c r="N308" s="13">
        <v>2</v>
      </c>
      <c r="O308" s="13">
        <v>9.9</v>
      </c>
      <c r="P308" s="13">
        <v>7.2</v>
      </c>
      <c r="Q308" s="13">
        <v>9.1</v>
      </c>
      <c r="R308" s="13"/>
      <c r="S308" s="61" t="s">
        <v>936</v>
      </c>
      <c r="T308" t="str">
        <f>_xlfn.DISPIMG("ID_39A08211ED6A4076AB89912F4CD96E32",1)</f>
        <v>=DISPIMG("ID_39A08211ED6A4076AB89912F4CD96E32",1)</v>
      </c>
      <c r="U308" s="66" t="s">
        <v>426</v>
      </c>
      <c r="V308" s="82" t="s">
        <v>29</v>
      </c>
      <c r="W308" s="13" t="s">
        <v>937</v>
      </c>
    </row>
    <row r="309" customHeight="1" spans="1:23">
      <c r="A309" s="3" t="s">
        <v>938</v>
      </c>
      <c r="B309" s="4">
        <v>6688607.27</v>
      </c>
      <c r="C309" s="4">
        <v>6194770.5</v>
      </c>
      <c r="D309" s="4">
        <f>AVERAGE(O309:Q309)</f>
        <v>7</v>
      </c>
      <c r="E309" s="4">
        <f>R309</f>
        <v>0.1</v>
      </c>
      <c r="F309" s="4">
        <f>(C309-B309*(1-0.01*D309)*E309)/(B309*(1-E309))</f>
        <v>0.925741637805364</v>
      </c>
      <c r="G309" s="4">
        <f>100-100*F309</f>
        <v>7.42583621946356</v>
      </c>
      <c r="H309" s="4">
        <v>6194041.68</v>
      </c>
      <c r="I309" s="4">
        <f>100-100*H309/B309</f>
        <v>7.39414903635088</v>
      </c>
      <c r="K309" s="4">
        <v>7.7</v>
      </c>
      <c r="L309" s="7">
        <v>44881.4583333333</v>
      </c>
      <c r="M309" s="8">
        <v>130</v>
      </c>
      <c r="N309" s="13">
        <v>1</v>
      </c>
      <c r="O309" s="13">
        <v>2.7</v>
      </c>
      <c r="P309" s="13">
        <v>14.1</v>
      </c>
      <c r="Q309" s="13">
        <v>4.2</v>
      </c>
      <c r="R309" s="13">
        <v>0.1</v>
      </c>
      <c r="S309" s="13" t="s">
        <v>939</v>
      </c>
      <c r="T309" t="str">
        <f>_xlfn.DISPIMG("ID_8594350670894A83994259256103CCA3",1)</f>
        <v>=DISPIMG("ID_8594350670894A83994259256103CCA3",1)</v>
      </c>
      <c r="U309" s="66" t="s">
        <v>623</v>
      </c>
      <c r="V309" s="82" t="s">
        <v>29</v>
      </c>
      <c r="W309" s="67" t="s">
        <v>940</v>
      </c>
    </row>
    <row r="310" customHeight="1" spans="1:23">
      <c r="A310" s="3" t="s">
        <v>941</v>
      </c>
      <c r="B310" s="4">
        <v>13437250.68</v>
      </c>
      <c r="C310" s="4">
        <v>12688218.05</v>
      </c>
      <c r="D310" s="4">
        <f>AVERAGE(O310:Q310)</f>
        <v>7.16666666666667</v>
      </c>
      <c r="E310" s="4">
        <v>0.1</v>
      </c>
      <c r="F310" s="4">
        <f>(C310-B310*(1-0.01*D310)*E310)/(B310*(1-E310))</f>
        <v>0.946026299161899</v>
      </c>
      <c r="G310" s="4">
        <f>100-100*F310</f>
        <v>5.39737008381009</v>
      </c>
      <c r="H310" s="4">
        <v>12687989.58</v>
      </c>
      <c r="I310" s="4">
        <f>100-100*H310/B310</f>
        <v>5.57600001550317</v>
      </c>
      <c r="K310" s="4">
        <v>5.2</v>
      </c>
      <c r="L310" s="7">
        <v>44883.3958333333</v>
      </c>
      <c r="M310" s="8">
        <v>130</v>
      </c>
      <c r="N310" s="112">
        <v>3</v>
      </c>
      <c r="O310" s="112">
        <v>8.2</v>
      </c>
      <c r="P310" s="112">
        <v>10</v>
      </c>
      <c r="Q310" s="112">
        <v>3.3</v>
      </c>
      <c r="R310" s="112">
        <v>0.1</v>
      </c>
      <c r="S310" s="61" t="s">
        <v>942</v>
      </c>
      <c r="T310" t="str">
        <f>_xlfn.DISPIMG("ID_39A08211ED6A4076AB89912F4CD96E32",1)</f>
        <v>=DISPIMG("ID_39A08211ED6A4076AB89912F4CD96E32",1)</v>
      </c>
      <c r="U310" s="66" t="s">
        <v>426</v>
      </c>
      <c r="V310" s="86" t="s">
        <v>59</v>
      </c>
      <c r="W310" s="49" t="s">
        <v>943</v>
      </c>
    </row>
    <row r="311" customHeight="1" spans="1:23">
      <c r="A311" s="3" t="s">
        <v>944</v>
      </c>
      <c r="B311" s="4">
        <v>13076681.73</v>
      </c>
      <c r="C311" s="4">
        <v>12396447.68</v>
      </c>
      <c r="D311" s="4">
        <f>AVERAGE(O311:Q311)</f>
        <v>5.23333333333333</v>
      </c>
      <c r="E311" s="4">
        <v>0.7</v>
      </c>
      <c r="F311" s="4">
        <f>(C311-B311*(1-0.01*D311)*E311)/(B311*(1-E311))</f>
        <v>0.948714917783912</v>
      </c>
      <c r="G311" s="4">
        <f>100-100*F311</f>
        <v>5.1285082216088</v>
      </c>
      <c r="H311" s="4">
        <v>12397077.68</v>
      </c>
      <c r="I311" s="4">
        <f>100-100*H311/B311</f>
        <v>5.1970680638413</v>
      </c>
      <c r="K311" s="4">
        <v>5.63</v>
      </c>
      <c r="L311" s="7">
        <v>44883.4583333333</v>
      </c>
      <c r="M311" s="8">
        <v>119</v>
      </c>
      <c r="N311" s="112">
        <v>3</v>
      </c>
      <c r="O311" s="112">
        <v>1.6</v>
      </c>
      <c r="P311" s="112">
        <v>8.2</v>
      </c>
      <c r="Q311" s="112">
        <v>5.9</v>
      </c>
      <c r="R311" s="112">
        <v>0.7</v>
      </c>
      <c r="S311" s="61" t="s">
        <v>945</v>
      </c>
      <c r="T311" t="str">
        <f>_xlfn.DISPIMG("ID_39A08211ED6A4076AB89912F4CD96E32",1)</f>
        <v>=DISPIMG("ID_39A08211ED6A4076AB89912F4CD96E32",1)</v>
      </c>
      <c r="U311" s="66" t="s">
        <v>426</v>
      </c>
      <c r="V311" s="86" t="s">
        <v>59</v>
      </c>
      <c r="W311" s="52" t="s">
        <v>946</v>
      </c>
    </row>
    <row r="312" customHeight="1" spans="1:23">
      <c r="A312" s="3" t="s">
        <v>947</v>
      </c>
      <c r="B312" s="4">
        <v>9933372.45</v>
      </c>
      <c r="C312" s="4">
        <v>9568817.68</v>
      </c>
      <c r="D312" s="4">
        <f>AVERAGE(O312:Q312)</f>
        <v>3.66666666666667</v>
      </c>
      <c r="F312" s="4">
        <f>(C312-B312*(1-0.01*D312)*E312)/(B312*(1-E312))</f>
        <v>0.963299999890772</v>
      </c>
      <c r="G312" s="4">
        <f>100-100*F312</f>
        <v>3.67000001092276</v>
      </c>
      <c r="H312" s="4">
        <v>9862283.32</v>
      </c>
      <c r="I312" s="4">
        <f>100-100*H312/B312</f>
        <v>0.715659564340598</v>
      </c>
      <c r="K312" s="4">
        <v>7.3</v>
      </c>
      <c r="L312" s="7">
        <v>44890.375</v>
      </c>
      <c r="M312" s="8">
        <v>4</v>
      </c>
      <c r="N312" s="112">
        <v>4</v>
      </c>
      <c r="O312" s="112">
        <v>5.3</v>
      </c>
      <c r="P312" s="112">
        <v>3.2</v>
      </c>
      <c r="Q312" s="112">
        <v>2.5</v>
      </c>
      <c r="R312" s="112"/>
      <c r="S312" s="61" t="s">
        <v>948</v>
      </c>
      <c r="T312" t="str">
        <f>_xlfn.DISPIMG("ID_39A08211ED6A4076AB89912F4CD96E32",1)</f>
        <v>=DISPIMG("ID_39A08211ED6A4076AB89912F4CD96E32",1)</v>
      </c>
      <c r="U312" s="66" t="s">
        <v>426</v>
      </c>
      <c r="V312" s="86" t="s">
        <v>59</v>
      </c>
      <c r="W312" s="52" t="s">
        <v>949</v>
      </c>
    </row>
    <row r="313" customHeight="1" spans="1:24">
      <c r="A313" s="3" t="s">
        <v>950</v>
      </c>
      <c r="B313" s="4">
        <v>13173256.76</v>
      </c>
      <c r="C313" s="4">
        <v>11967601.79</v>
      </c>
      <c r="D313" s="4">
        <v>100.4</v>
      </c>
      <c r="H313" s="4">
        <v>11961517.11</v>
      </c>
      <c r="I313" s="4">
        <f>100-100*H313/B313</f>
        <v>9.19848198571057</v>
      </c>
      <c r="K313" s="4">
        <v>6.8</v>
      </c>
      <c r="L313" s="7">
        <v>44893.4583333333</v>
      </c>
      <c r="M313" s="8">
        <v>349</v>
      </c>
      <c r="N313"/>
      <c r="O313"/>
      <c r="P313"/>
      <c r="Q313"/>
      <c r="R313"/>
      <c r="S313" t="s">
        <v>951</v>
      </c>
      <c r="T313" t="str">
        <f>_xlfn.DISPIMG("ID_B45AC5B0931F41358AA01BD5585B5788",1)</f>
        <v>=DISPIMG("ID_B45AC5B0931F41358AA01BD5585B5788",1)</v>
      </c>
      <c r="U313" t="s">
        <v>119</v>
      </c>
      <c r="V313" s="18" t="s">
        <v>952</v>
      </c>
      <c r="W313" s="20"/>
      <c r="X313"/>
    </row>
    <row r="314" customHeight="1" spans="1:24">
      <c r="A314" s="3" t="s">
        <v>953</v>
      </c>
      <c r="B314" s="4">
        <v>4914384.74</v>
      </c>
      <c r="D314" s="4">
        <v>0.2</v>
      </c>
      <c r="E314" s="4"/>
      <c r="H314" s="4">
        <v>4575292.19</v>
      </c>
      <c r="I314" s="4">
        <f>100-100*H314/B314</f>
        <v>6.90000005982436</v>
      </c>
      <c r="K314" s="4">
        <v>7.2</v>
      </c>
      <c r="L314" s="7">
        <v>44897.4583333333</v>
      </c>
      <c r="M314" s="8">
        <v>5</v>
      </c>
      <c r="N314"/>
      <c r="O314"/>
      <c r="P314"/>
      <c r="Q314"/>
      <c r="R314"/>
      <c r="S314" t="s">
        <v>954</v>
      </c>
      <c r="T314" t="str">
        <f>_xlfn.DISPIMG("ID_2C36102094EB4083932A5E2537DBDB03",1)</f>
        <v>=DISPIMG("ID_2C36102094EB4083932A5E2537DBDB03",1)</v>
      </c>
      <c r="U314" s="13" t="s">
        <v>127</v>
      </c>
      <c r="V314" s="5" t="s">
        <v>955</v>
      </c>
      <c r="W314"/>
      <c r="X314"/>
    </row>
    <row r="315" customHeight="1" spans="1:24">
      <c r="A315" s="3" t="s">
        <v>956</v>
      </c>
      <c r="B315" s="4">
        <v>5993924.24</v>
      </c>
      <c r="C315" s="4">
        <v>5445312.34</v>
      </c>
      <c r="D315" s="4">
        <v>0.2</v>
      </c>
      <c r="E315" s="4"/>
      <c r="F315" s="4">
        <f>(H315/B315-D315)/(1-D315)</f>
        <v>0.882999999763093</v>
      </c>
      <c r="G315" s="4">
        <f>100-100*F315</f>
        <v>11.7000000236907</v>
      </c>
      <c r="H315" s="4">
        <v>5432892.93</v>
      </c>
      <c r="I315" s="4">
        <f>100-100*H315/B315</f>
        <v>9.36000001895253</v>
      </c>
      <c r="K315" s="4">
        <v>1.6</v>
      </c>
      <c r="L315" s="7">
        <v>44908.4583333333</v>
      </c>
      <c r="M315" s="8">
        <v>93</v>
      </c>
      <c r="N315"/>
      <c r="O315"/>
      <c r="P315"/>
      <c r="Q315"/>
      <c r="R315"/>
      <c r="S315" t="s">
        <v>957</v>
      </c>
      <c r="T315" s="13" t="str">
        <f>_xlfn.DISPIMG("ID_2E203B325B204945B1936C111C59F975",1)</f>
        <v>=DISPIMG("ID_2E203B325B204945B1936C111C59F975",1)</v>
      </c>
      <c r="U315" s="13" t="s">
        <v>218</v>
      </c>
      <c r="V315" s="5" t="s">
        <v>581</v>
      </c>
      <c r="W315" s="5" t="s">
        <v>958</v>
      </c>
      <c r="X315"/>
    </row>
    <row r="316" customHeight="1" spans="1:23">
      <c r="A316" s="3" t="s">
        <v>959</v>
      </c>
      <c r="B316" s="4">
        <v>11516212.04</v>
      </c>
      <c r="C316" s="4">
        <v>10492574.71</v>
      </c>
      <c r="D316" s="4">
        <f>AVERAGE(O316:Q316)</f>
        <v>10</v>
      </c>
      <c r="E316" s="4">
        <f>R316</f>
        <v>0.1</v>
      </c>
      <c r="F316" s="4">
        <f>(C316-B316*(1-0.01*D316)*E316)/(B316*(1-E316))</f>
        <v>0.912348183929796</v>
      </c>
      <c r="G316" s="4">
        <f>100-100*F316</f>
        <v>8.76518160702044</v>
      </c>
      <c r="H316" s="4">
        <v>10492373.34</v>
      </c>
      <c r="I316" s="4">
        <f>100-100*H316/B316</f>
        <v>8.89041202475114</v>
      </c>
      <c r="K316" s="4">
        <v>8.8</v>
      </c>
      <c r="L316" s="7">
        <v>44909.375</v>
      </c>
      <c r="M316" s="8">
        <v>139</v>
      </c>
      <c r="N316" s="13">
        <v>4</v>
      </c>
      <c r="O316" s="13">
        <v>10.5</v>
      </c>
      <c r="P316" s="13">
        <v>6.8</v>
      </c>
      <c r="Q316" s="13">
        <v>12.7</v>
      </c>
      <c r="R316" s="13">
        <v>0.1</v>
      </c>
      <c r="S316" s="64" t="s">
        <v>960</v>
      </c>
      <c r="T316" t="str">
        <f>_xlfn.DISPIMG("ID_8594350670894A83994259256103CCA3",1)</f>
        <v>=DISPIMG("ID_8594350670894A83994259256103CCA3",1)</v>
      </c>
      <c r="U316" s="66" t="s">
        <v>623</v>
      </c>
      <c r="V316" s="82" t="s">
        <v>29</v>
      </c>
      <c r="W316" s="52" t="s">
        <v>961</v>
      </c>
    </row>
    <row r="317" customHeight="1" spans="1:23">
      <c r="A317" s="3" t="s">
        <v>962</v>
      </c>
      <c r="B317" s="4">
        <v>8384739.59</v>
      </c>
      <c r="C317" s="4">
        <v>7885429.43</v>
      </c>
      <c r="D317" s="4">
        <f>AVERAGE(O317:Q317)</f>
        <v>7.16666666666667</v>
      </c>
      <c r="E317" s="4">
        <v>0.3</v>
      </c>
      <c r="F317" s="4">
        <f>(C317-B317*(1-0.01*D317)*E317)/(B317*(1-E317))</f>
        <v>0.945643041590957</v>
      </c>
      <c r="G317" s="4">
        <f>100-100*F317</f>
        <v>5.43569584090429</v>
      </c>
      <c r="H317" s="4">
        <v>7884234.48</v>
      </c>
      <c r="I317" s="4">
        <f>100-100*H317/B317</f>
        <v>5.96923857476652</v>
      </c>
      <c r="K317" s="4">
        <v>9.3</v>
      </c>
      <c r="L317" s="7">
        <v>44909.3958333333</v>
      </c>
      <c r="M317" s="8">
        <v>123</v>
      </c>
      <c r="N317" s="112">
        <v>2</v>
      </c>
      <c r="O317" s="112">
        <v>7.2</v>
      </c>
      <c r="P317" s="112">
        <v>6.3</v>
      </c>
      <c r="Q317" s="112">
        <v>8</v>
      </c>
      <c r="R317" s="112">
        <v>0.3</v>
      </c>
      <c r="S317" s="61" t="s">
        <v>963</v>
      </c>
      <c r="T317" t="str">
        <f>_xlfn.DISPIMG("ID_39A08211ED6A4076AB89912F4CD96E32",1)</f>
        <v>=DISPIMG("ID_39A08211ED6A4076AB89912F4CD96E32",1)</v>
      </c>
      <c r="U317" s="66" t="s">
        <v>426</v>
      </c>
      <c r="V317" s="86" t="s">
        <v>59</v>
      </c>
      <c r="W317" s="49" t="s">
        <v>964</v>
      </c>
    </row>
    <row r="318" customHeight="1" spans="1:23">
      <c r="A318" s="117" t="s">
        <v>965</v>
      </c>
      <c r="B318" s="4">
        <v>19418685.93</v>
      </c>
      <c r="C318" s="4">
        <v>17744688.4</v>
      </c>
      <c r="D318" s="4">
        <f>AVERAGE(O318:Q318)</f>
        <v>8.96666666666667</v>
      </c>
      <c r="E318" s="4">
        <v>0.5</v>
      </c>
      <c r="F318" s="4">
        <f>(C318-B318*(1-0.01*D318)*E318)/(B318*(1-E318))</f>
        <v>0.917255666660344</v>
      </c>
      <c r="G318" s="4">
        <f>100-100*F318</f>
        <v>8.27443333396558</v>
      </c>
      <c r="H318" s="4">
        <v>17743630.08</v>
      </c>
      <c r="I318" s="4">
        <f>100-100*H318/B318</f>
        <v>8.62600000864221</v>
      </c>
      <c r="K318" s="4">
        <v>5.7</v>
      </c>
      <c r="L318" s="7">
        <v>44914.375</v>
      </c>
      <c r="M318" s="8">
        <v>128</v>
      </c>
      <c r="N318" s="112">
        <v>3</v>
      </c>
      <c r="O318" s="112">
        <v>7.8</v>
      </c>
      <c r="P318" s="112">
        <v>9.1</v>
      </c>
      <c r="Q318" s="112">
        <v>10</v>
      </c>
      <c r="R318" s="112">
        <v>0.5</v>
      </c>
      <c r="S318" s="61" t="s">
        <v>966</v>
      </c>
      <c r="T318" t="str">
        <f>_xlfn.DISPIMG("ID_314B68A0415F43F985B023E0395B141C",1)</f>
        <v>=DISPIMG("ID_314B68A0415F43F985B023E0395B141C",1)</v>
      </c>
      <c r="U318" s="66" t="s">
        <v>467</v>
      </c>
      <c r="V318" s="86" t="s">
        <v>59</v>
      </c>
      <c r="W318" s="52" t="s">
        <v>967</v>
      </c>
    </row>
    <row r="319" customHeight="1" spans="1:24">
      <c r="A319" s="3" t="s">
        <v>968</v>
      </c>
      <c r="B319" s="4">
        <v>6466205.68</v>
      </c>
      <c r="C319" s="4"/>
      <c r="D319" s="4">
        <v>98.4</v>
      </c>
      <c r="E319" s="4"/>
      <c r="F319" s="4"/>
      <c r="G319" s="4"/>
      <c r="H319" s="4">
        <v>5920508.88</v>
      </c>
      <c r="I319" s="4">
        <f>100-100*H319/B319</f>
        <v>8.43921191198483</v>
      </c>
      <c r="K319" s="4">
        <v>6.1</v>
      </c>
      <c r="L319" s="7">
        <v>44915.3958333333</v>
      </c>
      <c r="M319" s="8">
        <v>59</v>
      </c>
      <c r="N319"/>
      <c r="O319"/>
      <c r="P319"/>
      <c r="Q319"/>
      <c r="R319"/>
      <c r="S319" t="s">
        <v>969</v>
      </c>
      <c r="T319" t="str">
        <f>_xlfn.DISPIMG("ID_B45AC5B0931F41358AA01BD5585B5788",1)</f>
        <v>=DISPIMG("ID_B45AC5B0931F41358AA01BD5585B5788",1)</v>
      </c>
      <c r="U319" t="s">
        <v>119</v>
      </c>
      <c r="V319" s="5" t="s">
        <v>560</v>
      </c>
      <c r="W319" s="36" t="s">
        <v>970</v>
      </c>
      <c r="X319"/>
    </row>
    <row r="320" customHeight="1" spans="1:24">
      <c r="A320" s="3" t="s">
        <v>971</v>
      </c>
      <c r="B320" s="4">
        <v>5945466.84</v>
      </c>
      <c r="C320" s="4"/>
      <c r="D320" s="4">
        <v>99.6</v>
      </c>
      <c r="E320" s="4"/>
      <c r="F320" s="4"/>
      <c r="G320" s="4"/>
      <c r="H320" s="4">
        <v>5550093.3</v>
      </c>
      <c r="I320" s="4">
        <f>100-100*H320/B320</f>
        <v>6.64999991825705</v>
      </c>
      <c r="K320" s="4">
        <v>7.2</v>
      </c>
      <c r="L320" s="7">
        <v>44916.3958333333</v>
      </c>
      <c r="M320" s="8">
        <v>340</v>
      </c>
      <c r="N320"/>
      <c r="O320"/>
      <c r="P320"/>
      <c r="Q320"/>
      <c r="R320"/>
      <c r="S320" t="s">
        <v>972</v>
      </c>
      <c r="T320" t="str">
        <f>_xlfn.DISPIMG("ID_B45AC5B0931F41358AA01BD5585B5788",1)</f>
        <v>=DISPIMG("ID_B45AC5B0931F41358AA01BD5585B5788",1)</v>
      </c>
      <c r="U320" t="s">
        <v>119</v>
      </c>
      <c r="V320" s="5" t="s">
        <v>464</v>
      </c>
      <c r="W320" s="20"/>
      <c r="X320"/>
    </row>
    <row r="321" customHeight="1" spans="1:24">
      <c r="A321" s="3" t="s">
        <v>973</v>
      </c>
      <c r="B321" s="4">
        <v>13426444.34</v>
      </c>
      <c r="D321" s="4">
        <f>AVERAGE(O321:Q321)</f>
        <v>6.5</v>
      </c>
      <c r="E321" s="4">
        <v>0.3</v>
      </c>
      <c r="H321" s="4">
        <v>12657958.93</v>
      </c>
      <c r="I321" s="4">
        <f>100-100*H321/B321</f>
        <v>5.72367032208618</v>
      </c>
      <c r="K321" s="4">
        <v>5.6</v>
      </c>
      <c r="L321" s="7">
        <v>44929.4583333333</v>
      </c>
      <c r="M321" s="8">
        <v>130</v>
      </c>
      <c r="N321" s="111">
        <v>1</v>
      </c>
      <c r="O321" s="111">
        <v>6.4</v>
      </c>
      <c r="P321" s="111">
        <v>4.2</v>
      </c>
      <c r="Q321" s="111">
        <v>8.9</v>
      </c>
      <c r="R321" s="111">
        <v>0.3</v>
      </c>
      <c r="S321" s="35" t="s">
        <v>974</v>
      </c>
      <c r="T321" t="str">
        <f>_xlfn.DISPIMG("ID_39A08211ED6A4076AB89912F4CD96E32",1)</f>
        <v>=DISPIMG("ID_39A08211ED6A4076AB89912F4CD96E32",1)</v>
      </c>
      <c r="U321" s="120" t="s">
        <v>426</v>
      </c>
      <c r="V321" s="86" t="s">
        <v>59</v>
      </c>
      <c r="W321" s="116" t="s">
        <v>975</v>
      </c>
      <c r="X321"/>
    </row>
    <row r="322" customHeight="1" spans="1:24">
      <c r="A322" s="3" t="s">
        <v>976</v>
      </c>
      <c r="B322" s="4">
        <v>9221246.92</v>
      </c>
      <c r="C322" s="4">
        <v>8297884.28</v>
      </c>
      <c r="D322" s="4">
        <v>0.3</v>
      </c>
      <c r="F322" s="4">
        <f>(H322/B322-D322)/(1-D322)</f>
        <v>0.91636394348158</v>
      </c>
      <c r="G322" s="4">
        <f>100-100*F322</f>
        <v>8.36360565184201</v>
      </c>
      <c r="H322" s="4">
        <v>8681386.81</v>
      </c>
      <c r="I322" s="4">
        <f>100-100*H322/B322</f>
        <v>5.85452395628941</v>
      </c>
      <c r="K322" s="4">
        <v>7.6</v>
      </c>
      <c r="L322" s="7">
        <v>44930.375</v>
      </c>
      <c r="M322" s="8">
        <v>87</v>
      </c>
      <c r="N322"/>
      <c r="O322"/>
      <c r="P322"/>
      <c r="Q322"/>
      <c r="R322"/>
      <c r="S322" t="s">
        <v>977</v>
      </c>
      <c r="T322" t="str">
        <f>_xlfn.DISPIMG("ID_D8F0F25F5E9C4095BF1F2A46256D89E5",1)</f>
        <v>=DISPIMG("ID_D8F0F25F5E9C4095BF1F2A46256D89E5",1)</v>
      </c>
      <c r="U322" s="13" t="s">
        <v>978</v>
      </c>
      <c r="V322" s="5" t="s">
        <v>581</v>
      </c>
      <c r="W322" s="36" t="s">
        <v>979</v>
      </c>
      <c r="X322"/>
    </row>
    <row r="323" customHeight="1" spans="1:24">
      <c r="A323" s="3" t="s">
        <v>980</v>
      </c>
      <c r="B323" s="4">
        <v>51854881.28</v>
      </c>
      <c r="C323" s="4"/>
      <c r="D323" s="4">
        <v>98.8</v>
      </c>
      <c r="H323" s="4">
        <v>47895786.72</v>
      </c>
      <c r="I323" s="4">
        <f>100-100*H323/B323</f>
        <v>7.63495058184039</v>
      </c>
      <c r="K323" s="4">
        <v>6.8</v>
      </c>
      <c r="L323" s="7">
        <v>44936.3958333333</v>
      </c>
      <c r="M323" s="8">
        <v>496</v>
      </c>
      <c r="N323"/>
      <c r="O323"/>
      <c r="P323"/>
      <c r="Q323"/>
      <c r="R323"/>
      <c r="S323" t="s">
        <v>981</v>
      </c>
      <c r="T323" t="str">
        <f>_xlfn.DISPIMG("ID_B45AC5B0931F41358AA01BD5585B5788",1)</f>
        <v>=DISPIMG("ID_B45AC5B0931F41358AA01BD5585B5788",1)</v>
      </c>
      <c r="U323" t="s">
        <v>119</v>
      </c>
      <c r="V323" s="5" t="s">
        <v>982</v>
      </c>
      <c r="W323" s="5" t="s">
        <v>983</v>
      </c>
      <c r="X323"/>
    </row>
    <row r="324" customHeight="1" spans="1:23">
      <c r="A324" s="3" t="s">
        <v>984</v>
      </c>
      <c r="B324" s="4">
        <v>41978590.91</v>
      </c>
      <c r="C324" s="4">
        <v>39590288.7</v>
      </c>
      <c r="D324" s="4">
        <f>AVERAGE(O324:Q324)</f>
        <v>6.2</v>
      </c>
      <c r="E324" s="4">
        <v>0.3</v>
      </c>
      <c r="F324" s="4">
        <f>(C324-B324*(1-0.01*D324)*E324)/(B324*(1-E324))</f>
        <v>0.945295229774884</v>
      </c>
      <c r="G324" s="4">
        <f>100-100*F324</f>
        <v>5.47047702251162</v>
      </c>
      <c r="H324" s="4">
        <v>39593636.63</v>
      </c>
      <c r="I324" s="4">
        <f>100-100*H324/B324</f>
        <v>5.68135858850816</v>
      </c>
      <c r="K324" s="4">
        <v>5.8</v>
      </c>
      <c r="L324" s="7">
        <v>44936.4583333333</v>
      </c>
      <c r="M324" s="8">
        <v>129</v>
      </c>
      <c r="N324" s="112">
        <v>3</v>
      </c>
      <c r="O324" s="112">
        <v>9</v>
      </c>
      <c r="P324" s="112">
        <v>2.6</v>
      </c>
      <c r="Q324" s="112">
        <v>7</v>
      </c>
      <c r="R324" s="112">
        <v>0.3</v>
      </c>
      <c r="S324" s="61" t="s">
        <v>985</v>
      </c>
      <c r="T324" t="str">
        <f>_xlfn.DISPIMG("ID_39A08211ED6A4076AB89912F4CD96E32",1)</f>
        <v>=DISPIMG("ID_39A08211ED6A4076AB89912F4CD96E32",1)</v>
      </c>
      <c r="U324" s="66" t="s">
        <v>426</v>
      </c>
      <c r="V324" s="86" t="s">
        <v>59</v>
      </c>
      <c r="W324" s="52" t="s">
        <v>986</v>
      </c>
    </row>
    <row r="325" customHeight="1" spans="1:24">
      <c r="A325" s="3" t="s">
        <v>987</v>
      </c>
      <c r="B325" s="4">
        <v>4523735.61</v>
      </c>
      <c r="C325" s="4"/>
      <c r="D325" s="4">
        <v>0.2</v>
      </c>
      <c r="E325" s="4"/>
      <c r="F325" s="4"/>
      <c r="G325" s="4"/>
      <c r="H325" s="4">
        <v>4116599.4</v>
      </c>
      <c r="I325" s="4">
        <f>100-100*H325/B325</f>
        <v>9.00000011273869</v>
      </c>
      <c r="K325" s="4">
        <v>9.3</v>
      </c>
      <c r="L325" s="7">
        <v>44938.4583333333</v>
      </c>
      <c r="M325" s="8">
        <v>16</v>
      </c>
      <c r="N325"/>
      <c r="O325"/>
      <c r="P325"/>
      <c r="Q325"/>
      <c r="R325"/>
      <c r="S325" t="s">
        <v>988</v>
      </c>
      <c r="T325" t="str">
        <f>_xlfn.DISPIMG("ID_A398695467604F77ACD637C7998A50CF",1)</f>
        <v>=DISPIMG("ID_A398695467604F77ACD637C7998A50CF",1)</v>
      </c>
      <c r="U325" s="13" t="s">
        <v>989</v>
      </c>
      <c r="V325" s="5" t="s">
        <v>955</v>
      </c>
      <c r="W325"/>
      <c r="X325"/>
    </row>
    <row r="326" customHeight="1" spans="1:24">
      <c r="A326" s="3" t="s">
        <v>990</v>
      </c>
      <c r="B326" s="4">
        <v>52997330.13</v>
      </c>
      <c r="C326" s="4"/>
      <c r="D326" s="4">
        <f>AVERAGE(O326:Q326)</f>
        <v>8.03333333333333</v>
      </c>
      <c r="E326" s="4">
        <v>0.7</v>
      </c>
      <c r="F326" s="4"/>
      <c r="G326" s="4"/>
      <c r="H326" s="4">
        <v>48700730.59</v>
      </c>
      <c r="I326" s="4">
        <f>100-100*H326/B326</f>
        <v>8.10719998434004</v>
      </c>
      <c r="K326" s="4">
        <v>6.8</v>
      </c>
      <c r="L326" s="7">
        <v>44939.4583333333</v>
      </c>
      <c r="M326" s="8">
        <v>66</v>
      </c>
      <c r="N326" s="111">
        <v>3</v>
      </c>
      <c r="O326" s="111">
        <v>8.8</v>
      </c>
      <c r="P326" s="111">
        <v>7.8</v>
      </c>
      <c r="Q326" s="111">
        <v>7.5</v>
      </c>
      <c r="R326" s="111">
        <v>0.7</v>
      </c>
      <c r="S326" s="35" t="s">
        <v>991</v>
      </c>
      <c r="T326" t="str">
        <f>_xlfn.DISPIMG("ID_314B68A0415F43F985B023E0395B141C",1)</f>
        <v>=DISPIMG("ID_314B68A0415F43F985B023E0395B141C",1)</v>
      </c>
      <c r="U326" s="120" t="s">
        <v>467</v>
      </c>
      <c r="V326" s="86" t="s">
        <v>59</v>
      </c>
      <c r="W326" s="115" t="s">
        <v>992</v>
      </c>
      <c r="X326"/>
    </row>
    <row r="327" customHeight="1" spans="1:24">
      <c r="A327" s="3" t="s">
        <v>993</v>
      </c>
      <c r="B327" s="4">
        <v>26067714.67</v>
      </c>
      <c r="C327" s="4"/>
      <c r="D327" s="4">
        <f>AVERAGE(O327:Q327)</f>
        <v>6.2</v>
      </c>
      <c r="E327" s="4">
        <v>0.7</v>
      </c>
      <c r="F327" s="4"/>
      <c r="G327" s="4"/>
      <c r="H327" s="4">
        <v>24523218.89</v>
      </c>
      <c r="I327" s="4">
        <f>100-100*H327/B327</f>
        <v>5.92493741608075</v>
      </c>
      <c r="K327" s="4">
        <v>6.3</v>
      </c>
      <c r="L327" s="7">
        <v>44944.5</v>
      </c>
      <c r="M327" s="8">
        <v>129</v>
      </c>
      <c r="N327" s="111">
        <v>2</v>
      </c>
      <c r="O327" s="111">
        <v>3.4</v>
      </c>
      <c r="P327" s="111">
        <v>7.2</v>
      </c>
      <c r="Q327" s="111">
        <v>8</v>
      </c>
      <c r="R327" s="111">
        <v>0.7</v>
      </c>
      <c r="S327" s="35" t="s">
        <v>994</v>
      </c>
      <c r="T327" t="str">
        <f>_xlfn.DISPIMG("ID_39A08211ED6A4076AB89912F4CD96E32",1)</f>
        <v>=DISPIMG("ID_39A08211ED6A4076AB89912F4CD96E32",1)</v>
      </c>
      <c r="U327" s="120" t="s">
        <v>426</v>
      </c>
      <c r="V327" s="86" t="s">
        <v>59</v>
      </c>
      <c r="W327" s="5" t="s">
        <v>995</v>
      </c>
      <c r="X327"/>
    </row>
    <row r="328" customHeight="1" spans="1:24">
      <c r="A328" s="117" t="s">
        <v>996</v>
      </c>
      <c r="B328" s="4">
        <v>13038077.19</v>
      </c>
      <c r="C328" s="4"/>
      <c r="D328" s="4">
        <f>AVERAGE(O328:Q328)</f>
        <v>4.8</v>
      </c>
      <c r="E328" s="4">
        <v>0.1</v>
      </c>
      <c r="F328" s="4"/>
      <c r="G328" s="4"/>
      <c r="H328" s="4">
        <v>12372874.49</v>
      </c>
      <c r="I328" s="4">
        <f>100-100*H328/B328</f>
        <v>5.10200001354647</v>
      </c>
      <c r="K328" s="4">
        <v>6.3</v>
      </c>
      <c r="L328" s="7">
        <v>44945.375</v>
      </c>
      <c r="M328" s="8"/>
      <c r="N328" s="111">
        <v>1</v>
      </c>
      <c r="O328" s="111">
        <v>8.9</v>
      </c>
      <c r="P328" s="111">
        <v>4.2</v>
      </c>
      <c r="Q328" s="111">
        <v>1.3</v>
      </c>
      <c r="R328" s="111">
        <v>0.1</v>
      </c>
      <c r="S328" s="35" t="s">
        <v>997</v>
      </c>
      <c r="T328" t="str">
        <f>_xlfn.DISPIMG("ID_39A08211ED6A4076AB89912F4CD96E32",1)</f>
        <v>=DISPIMG("ID_39A08211ED6A4076AB89912F4CD96E32",1)</v>
      </c>
      <c r="U328" s="120" t="s">
        <v>426</v>
      </c>
      <c r="V328" s="86" t="s">
        <v>59</v>
      </c>
      <c r="W328" s="5" t="s">
        <v>998</v>
      </c>
      <c r="X328"/>
    </row>
    <row r="329" customHeight="1" spans="1:24">
      <c r="A329" s="3" t="s">
        <v>999</v>
      </c>
      <c r="B329" s="4">
        <v>3198000</v>
      </c>
      <c r="C329" s="4"/>
      <c r="D329" s="4">
        <v>0.5</v>
      </c>
      <c r="E329" s="4"/>
      <c r="F329" s="4">
        <f>(H329/B329-D329)/(1-D329)</f>
        <v>0.949968730456535</v>
      </c>
      <c r="G329" s="4">
        <f>100-100*F329</f>
        <v>5.00312695434646</v>
      </c>
      <c r="H329" s="4">
        <v>3118000</v>
      </c>
      <c r="I329" s="4">
        <f>100-100*H329/B329</f>
        <v>2.50156347717323</v>
      </c>
      <c r="K329" s="4">
        <v>1.2</v>
      </c>
      <c r="L329" s="7">
        <v>44945.4583333333</v>
      </c>
      <c r="M329" s="8">
        <v>3</v>
      </c>
      <c r="N329"/>
      <c r="O329"/>
      <c r="P329"/>
      <c r="Q329"/>
      <c r="R329"/>
      <c r="S329" t="s">
        <v>1000</v>
      </c>
      <c r="T329" t="str">
        <f>_xlfn.DISPIMG("ID_AF2D56D0B0614954AC556C641DE1E1AB",1)</f>
        <v>=DISPIMG("ID_AF2D56D0B0614954AC556C641DE1E1AB",1)</v>
      </c>
      <c r="U329" s="13" t="s">
        <v>1001</v>
      </c>
      <c r="V329" s="20" t="s">
        <v>1002</v>
      </c>
      <c r="W329"/>
      <c r="X329"/>
    </row>
    <row r="330" customHeight="1" spans="1:24">
      <c r="A330" s="3" t="s">
        <v>1003</v>
      </c>
      <c r="B330" s="4">
        <v>19265166.66</v>
      </c>
      <c r="C330" s="4"/>
      <c r="D330" s="4">
        <v>102</v>
      </c>
      <c r="E330" s="4"/>
      <c r="F330" s="4"/>
      <c r="G330" s="4"/>
      <c r="H330" s="4">
        <v>18332281.18</v>
      </c>
      <c r="I330" s="4">
        <f>100-100*H330/B330</f>
        <v>4.84234315988004</v>
      </c>
      <c r="K330" s="4">
        <v>9.6</v>
      </c>
      <c r="L330" s="7">
        <v>44955.3958333333</v>
      </c>
      <c r="M330" s="8">
        <v>1008</v>
      </c>
      <c r="N330"/>
      <c r="O330"/>
      <c r="P330"/>
      <c r="Q330"/>
      <c r="R330"/>
      <c r="S330" t="s">
        <v>1004</v>
      </c>
      <c r="T330" t="str">
        <f>_xlfn.DISPIMG("ID_B45AC5B0931F41358AA01BD5585B5788",1)</f>
        <v>=DISPIMG("ID_B45AC5B0931F41358AA01BD5585B5788",1)</v>
      </c>
      <c r="U330" t="s">
        <v>119</v>
      </c>
      <c r="V330" s="5" t="s">
        <v>982</v>
      </c>
      <c r="W330" s="36" t="s">
        <v>1005</v>
      </c>
      <c r="X330"/>
    </row>
    <row r="331" customHeight="1" spans="1:24">
      <c r="A331" s="3" t="s">
        <v>1006</v>
      </c>
      <c r="B331" s="4">
        <v>10625354.02</v>
      </c>
      <c r="C331" s="4"/>
      <c r="D331" s="4"/>
      <c r="H331" s="4">
        <v>10063272.79</v>
      </c>
      <c r="I331" s="4">
        <f>100-100*H331/B331</f>
        <v>5.29000002204162</v>
      </c>
      <c r="K331" s="4">
        <v>5.8</v>
      </c>
      <c r="L331" s="7">
        <v>44956.3958333333</v>
      </c>
      <c r="M331" s="8">
        <v>127</v>
      </c>
      <c r="N331" s="111"/>
      <c r="O331" s="111"/>
      <c r="P331" s="111"/>
      <c r="Q331" s="111"/>
      <c r="R331" s="111"/>
      <c r="S331" s="35" t="s">
        <v>1007</v>
      </c>
      <c r="T331" t="str">
        <f>_xlfn.DISPIMG("ID_39A08211ED6A4076AB89912F4CD96E32",1)</f>
        <v>=DISPIMG("ID_39A08211ED6A4076AB89912F4CD96E32",1)</v>
      </c>
      <c r="U331" s="120" t="s">
        <v>426</v>
      </c>
      <c r="V331" s="86" t="s">
        <v>59</v>
      </c>
      <c r="W331"/>
      <c r="X331"/>
    </row>
    <row r="332" customHeight="1" spans="1:24">
      <c r="A332" s="3" t="s">
        <v>1008</v>
      </c>
      <c r="B332" s="4">
        <v>9228725.11</v>
      </c>
      <c r="H332" s="4">
        <v>8611600.26</v>
      </c>
      <c r="I332" s="4">
        <f>100-100*H332/B332</f>
        <v>6.68700002052613</v>
      </c>
      <c r="K332" s="4">
        <v>5.3</v>
      </c>
      <c r="L332" s="7">
        <v>44957.3958333333</v>
      </c>
      <c r="M332" s="8">
        <v>124</v>
      </c>
      <c r="N332" s="111"/>
      <c r="O332" s="111"/>
      <c r="P332" s="111"/>
      <c r="Q332" s="111"/>
      <c r="R332" s="111"/>
      <c r="S332" s="35" t="s">
        <v>1009</v>
      </c>
      <c r="T332" t="str">
        <f>_xlfn.DISPIMG("ID_39A08211ED6A4076AB89912F4CD96E32",1)</f>
        <v>=DISPIMG("ID_39A08211ED6A4076AB89912F4CD96E32",1)</v>
      </c>
      <c r="U332" s="120" t="s">
        <v>426</v>
      </c>
      <c r="V332" s="86" t="s">
        <v>59</v>
      </c>
      <c r="W332"/>
      <c r="X332"/>
    </row>
    <row r="333" customHeight="1" spans="1:24">
      <c r="A333" s="3" t="s">
        <v>1010</v>
      </c>
      <c r="B333" s="4">
        <v>7593378.53</v>
      </c>
      <c r="C333" s="4">
        <v>6991816.23</v>
      </c>
      <c r="D333" s="4">
        <v>0.1</v>
      </c>
      <c r="E333" s="4"/>
      <c r="F333" s="4">
        <f>(H333/B333-D333)/(1-D333)</f>
        <v>0.92805693245949</v>
      </c>
      <c r="G333" s="4">
        <f>100-100*F333</f>
        <v>7.19430675405096</v>
      </c>
      <c r="H333" s="4">
        <v>7101716.68</v>
      </c>
      <c r="I333" s="4">
        <f>100-100*H333/B333</f>
        <v>6.47487607864585</v>
      </c>
      <c r="K333" s="4">
        <v>6.68</v>
      </c>
      <c r="L333" s="7">
        <v>44958.375</v>
      </c>
      <c r="M333" s="8">
        <v>58</v>
      </c>
      <c r="N333"/>
      <c r="O333"/>
      <c r="P333"/>
      <c r="Q333"/>
      <c r="R333"/>
      <c r="S333" t="s">
        <v>1011</v>
      </c>
      <c r="T333" t="str">
        <f>_xlfn.DISPIMG("ID_91259612580E46CD984CF7BF9131F10C",1)</f>
        <v>=DISPIMG("ID_91259612580E46CD984CF7BF9131F10C",1)</v>
      </c>
      <c r="U333" s="13" t="s">
        <v>650</v>
      </c>
      <c r="V333" s="5" t="s">
        <v>581</v>
      </c>
      <c r="W333"/>
      <c r="X333"/>
    </row>
    <row r="334" customHeight="1" spans="1:24">
      <c r="A334" s="3" t="s">
        <v>1012</v>
      </c>
      <c r="B334" s="4">
        <v>11437938.76</v>
      </c>
      <c r="C334" s="4">
        <v>10908305.57</v>
      </c>
      <c r="D334" s="4">
        <v>0.3</v>
      </c>
      <c r="E334" s="4"/>
      <c r="F334" s="4">
        <f>(H334/B334-D334)/(1-D334)</f>
        <v>0.970689477870324</v>
      </c>
      <c r="G334" s="4">
        <f>100-100*F334</f>
        <v>2.93105221296756</v>
      </c>
      <c r="H334" s="4">
        <v>11203262.39</v>
      </c>
      <c r="I334" s="4">
        <f>100-100*H334/B334</f>
        <v>2.0517365490773</v>
      </c>
      <c r="K334" s="4">
        <v>5.6</v>
      </c>
      <c r="L334" s="7">
        <v>44959.375</v>
      </c>
      <c r="M334" s="8">
        <v>93</v>
      </c>
      <c r="N334"/>
      <c r="O334"/>
      <c r="P334"/>
      <c r="Q334"/>
      <c r="R334"/>
      <c r="S334" t="s">
        <v>1013</v>
      </c>
      <c r="T334" t="str">
        <f>_xlfn.DISPIMG("ID_91259612580E46CD984CF7BF9131F10C",1)</f>
        <v>=DISPIMG("ID_91259612580E46CD984CF7BF9131F10C",1)</v>
      </c>
      <c r="U334" s="13" t="s">
        <v>650</v>
      </c>
      <c r="V334" s="5" t="s">
        <v>581</v>
      </c>
      <c r="W334"/>
      <c r="X334"/>
    </row>
    <row r="335" customHeight="1" spans="1:23">
      <c r="A335" s="117" t="s">
        <v>1014</v>
      </c>
      <c r="B335" s="4">
        <v>7232329.07</v>
      </c>
      <c r="C335" s="4">
        <v>6578607.95</v>
      </c>
      <c r="D335" s="4">
        <f>AVERAGE(O335:Q335)</f>
        <v>9.3</v>
      </c>
      <c r="E335" s="4">
        <f>R335</f>
        <v>0.9</v>
      </c>
      <c r="F335" s="4">
        <f>(C335-B335*(1-0.01*D335)*E335)/(B335*(1-E335))</f>
        <v>0.933112588803982</v>
      </c>
      <c r="G335" s="4">
        <f>100-100*F335</f>
        <v>6.68874111960179</v>
      </c>
      <c r="H335" s="4">
        <v>6576356.82</v>
      </c>
      <c r="I335" s="4">
        <f>100-100*H335/B335</f>
        <v>9.07000004633363</v>
      </c>
      <c r="K335" s="4">
        <v>9.5</v>
      </c>
      <c r="L335" s="7">
        <v>44960.3958333333</v>
      </c>
      <c r="M335" s="8">
        <v>136</v>
      </c>
      <c r="N335" s="13">
        <v>1</v>
      </c>
      <c r="O335" s="123">
        <v>8</v>
      </c>
      <c r="P335" s="13">
        <v>8.9</v>
      </c>
      <c r="Q335" s="123">
        <v>11</v>
      </c>
      <c r="R335" s="13">
        <v>0.9</v>
      </c>
      <c r="S335" s="13" t="s">
        <v>1015</v>
      </c>
      <c r="T335" s="13" t="str">
        <f>_xlfn.DISPIMG("ID_07BB03D8552243449A0E21372BBBBEE9",1)</f>
        <v>=DISPIMG("ID_07BB03D8552243449A0E21372BBBBEE9",1)</v>
      </c>
      <c r="U335" s="66" t="s">
        <v>1016</v>
      </c>
      <c r="V335" s="82" t="s">
        <v>29</v>
      </c>
      <c r="W335" s="52" t="s">
        <v>1017</v>
      </c>
    </row>
    <row r="336" customHeight="1" spans="1:23">
      <c r="A336" s="3" t="s">
        <v>1018</v>
      </c>
      <c r="B336" s="4">
        <v>51226390.75</v>
      </c>
      <c r="C336" s="4">
        <v>47983760.22</v>
      </c>
      <c r="D336" s="4">
        <f>AVERAGE(O336:Q336)</f>
        <v>6.33333333333333</v>
      </c>
      <c r="F336" s="4">
        <f>(C336-B336*(1-0.01*D336)*E336)/(B336*(1-E336))</f>
        <v>0.936700000087357</v>
      </c>
      <c r="G336" s="4">
        <f>100-100*F336</f>
        <v>6.32999999126427</v>
      </c>
      <c r="H336" s="4">
        <v>48012095.33</v>
      </c>
      <c r="I336" s="4">
        <f>100-100*H336/B336</f>
        <v>6.27468649057614</v>
      </c>
      <c r="K336" s="4">
        <v>7.56</v>
      </c>
      <c r="L336" s="7">
        <v>44963.4583333333</v>
      </c>
      <c r="M336" s="8">
        <v>73</v>
      </c>
      <c r="N336" s="13">
        <v>2</v>
      </c>
      <c r="O336" s="13">
        <v>0.9</v>
      </c>
      <c r="P336" s="13">
        <v>14.4</v>
      </c>
      <c r="Q336" s="13">
        <v>3.7</v>
      </c>
      <c r="R336" s="13"/>
      <c r="S336" s="13" t="s">
        <v>1019</v>
      </c>
      <c r="T336" t="str">
        <f>_xlfn.DISPIMG("ID_8594350670894A83994259256103CCA3",1)</f>
        <v>=DISPIMG("ID_8594350670894A83994259256103CCA3",1)</v>
      </c>
      <c r="U336" s="66" t="s">
        <v>623</v>
      </c>
      <c r="V336" s="82" t="s">
        <v>29</v>
      </c>
      <c r="W336" s="52" t="s">
        <v>1020</v>
      </c>
    </row>
    <row r="337" customHeight="1" spans="1:23">
      <c r="A337" s="3" t="s">
        <v>1021</v>
      </c>
      <c r="B337" s="4">
        <v>13087317.74</v>
      </c>
      <c r="C337" s="4">
        <v>12273875.74</v>
      </c>
      <c r="D337" s="4">
        <f>AVERAGE(O337:Q337)</f>
        <v>6.6</v>
      </c>
      <c r="E337" s="4">
        <v>0.7</v>
      </c>
      <c r="F337" s="4">
        <f>(C337-B337*(1-0.01*D337)*E337)/(B337*(1-E337))</f>
        <v>0.946816726299386</v>
      </c>
      <c r="G337" s="4">
        <f>100-100*F337</f>
        <v>5.31832737006145</v>
      </c>
      <c r="H337" s="4">
        <v>12271323.48</v>
      </c>
      <c r="I337" s="4">
        <f>100-100*H337/B337</f>
        <v>6.23499999167898</v>
      </c>
      <c r="K337" s="4">
        <v>6.9</v>
      </c>
      <c r="L337" s="7">
        <v>44964.3958333333</v>
      </c>
      <c r="M337" s="8">
        <v>116</v>
      </c>
      <c r="N337" s="112">
        <v>3</v>
      </c>
      <c r="O337" s="112">
        <v>9</v>
      </c>
      <c r="P337" s="112">
        <v>10</v>
      </c>
      <c r="Q337" s="112">
        <v>0.8</v>
      </c>
      <c r="R337" s="112">
        <v>0.7</v>
      </c>
      <c r="S337" s="61" t="s">
        <v>1022</v>
      </c>
      <c r="T337" t="str">
        <f>_xlfn.DISPIMG("ID_39A08211ED6A4076AB89912F4CD96E32",1)</f>
        <v>=DISPIMG("ID_39A08211ED6A4076AB89912F4CD96E32",1)</v>
      </c>
      <c r="U337" s="66" t="s">
        <v>426</v>
      </c>
      <c r="V337" s="86" t="s">
        <v>59</v>
      </c>
      <c r="W337" s="13" t="s">
        <v>1023</v>
      </c>
    </row>
    <row r="338" customHeight="1" spans="1:24">
      <c r="A338" s="3" t="s">
        <v>1024</v>
      </c>
      <c r="B338" s="4">
        <v>11387502.29</v>
      </c>
      <c r="C338" s="4"/>
      <c r="D338" s="4">
        <v>0.2</v>
      </c>
      <c r="E338" s="4"/>
      <c r="F338" s="4">
        <f>(H338/B338-D338)/(1-D338)</f>
        <v>0.970796659001155</v>
      </c>
      <c r="G338" s="4">
        <f>100-100*F338</f>
        <v>2.92033409988451</v>
      </c>
      <c r="H338" s="4">
        <v>11121459.8</v>
      </c>
      <c r="I338" s="4">
        <f>100-100*H338/B338</f>
        <v>2.3362672799076</v>
      </c>
      <c r="K338" s="4">
        <v>2.6</v>
      </c>
      <c r="L338" s="7">
        <v>44965.4375</v>
      </c>
      <c r="M338" s="8">
        <v>10</v>
      </c>
      <c r="N338"/>
      <c r="O338"/>
      <c r="P338"/>
      <c r="Q338"/>
      <c r="R338"/>
      <c r="S338" t="s">
        <v>1025</v>
      </c>
      <c r="T338" t="str">
        <f>_xlfn.DISPIMG("ID_9D905B3F3C0647F3990274F37391156C",1)</f>
        <v>=DISPIMG("ID_9D905B3F3C0647F3990274F37391156C",1)</v>
      </c>
      <c r="U338" s="13" t="s">
        <v>1026</v>
      </c>
      <c r="V338" s="18" t="s">
        <v>1027</v>
      </c>
      <c r="W338" s="18" t="s">
        <v>1028</v>
      </c>
      <c r="X338"/>
    </row>
    <row r="339" customHeight="1" spans="1:24">
      <c r="A339" s="3" t="s">
        <v>1029</v>
      </c>
      <c r="B339" s="4">
        <v>6407434.13</v>
      </c>
      <c r="C339" s="4"/>
      <c r="D339" s="4"/>
      <c r="E339" s="4"/>
      <c r="F339" s="4"/>
      <c r="G339" s="4"/>
      <c r="H339" s="4">
        <v>6088343.91</v>
      </c>
      <c r="I339" s="4">
        <f>100-100*H339/B339</f>
        <v>4.98000000508785</v>
      </c>
      <c r="K339" s="4">
        <v>6.3</v>
      </c>
      <c r="L339" s="7">
        <v>44966.3958333333</v>
      </c>
      <c r="M339" s="8">
        <v>115</v>
      </c>
      <c r="N339" s="111"/>
      <c r="O339" s="111"/>
      <c r="P339" s="111"/>
      <c r="Q339" s="111"/>
      <c r="R339" s="111"/>
      <c r="S339" s="35" t="s">
        <v>1030</v>
      </c>
      <c r="T339" t="str">
        <f>_xlfn.DISPIMG("ID_39A08211ED6A4076AB89912F4CD96E32",1)</f>
        <v>=DISPIMG("ID_39A08211ED6A4076AB89912F4CD96E32",1)</v>
      </c>
      <c r="U339" s="120" t="s">
        <v>426</v>
      </c>
      <c r="V339" s="86" t="s">
        <v>59</v>
      </c>
      <c r="W339"/>
      <c r="X339"/>
    </row>
    <row r="340" customHeight="1" spans="1:24">
      <c r="A340" s="3" t="s">
        <v>1031</v>
      </c>
      <c r="B340" s="4">
        <v>9920135.04</v>
      </c>
      <c r="C340" s="4">
        <v>9580573.93</v>
      </c>
      <c r="D340" s="4">
        <v>0.3</v>
      </c>
      <c r="F340" s="4">
        <f>(H340/B340-D340)/(1-D340)</f>
        <v>0.950957027064249</v>
      </c>
      <c r="G340" s="4">
        <f>100-100*F340</f>
        <v>4.90429729357508</v>
      </c>
      <c r="H340" s="4">
        <v>9579576</v>
      </c>
      <c r="I340" s="4">
        <f>100-100*H340/B340</f>
        <v>3.43300810550255</v>
      </c>
      <c r="K340" s="4">
        <v>4.6</v>
      </c>
      <c r="L340" s="7">
        <v>44966.3958333333</v>
      </c>
      <c r="M340" s="8">
        <v>102</v>
      </c>
      <c r="N340"/>
      <c r="O340"/>
      <c r="P340"/>
      <c r="Q340"/>
      <c r="R340"/>
      <c r="S340" t="s">
        <v>1032</v>
      </c>
      <c r="T340" s="13" t="str">
        <f>_xlfn.DISPIMG("ID_5C1B5B8EA2164BF49185CA64500D4BE4",1)</f>
        <v>=DISPIMG("ID_5C1B5B8EA2164BF49185CA64500D4BE4",1)</v>
      </c>
      <c r="U340" s="13" t="s">
        <v>189</v>
      </c>
      <c r="V340" s="5" t="s">
        <v>581</v>
      </c>
      <c r="W340"/>
      <c r="X340"/>
    </row>
    <row r="341" customHeight="1" spans="1:24">
      <c r="A341" s="3" t="s">
        <v>1033</v>
      </c>
      <c r="B341" s="4">
        <v>5641617.61</v>
      </c>
      <c r="C341" s="4"/>
      <c r="D341" s="4">
        <f>AVERAGE(O341:Q341)</f>
        <v>6.53333333333333</v>
      </c>
      <c r="E341" s="4">
        <f>R341</f>
        <v>0.9</v>
      </c>
      <c r="H341" s="4">
        <v>5267296.28</v>
      </c>
      <c r="I341" s="4">
        <f>100-100*H341/B341</f>
        <v>6.63500002794412</v>
      </c>
      <c r="K341" s="4">
        <v>7.2</v>
      </c>
      <c r="L341" s="7">
        <v>44986.3958333333</v>
      </c>
      <c r="M341" s="8">
        <v>136</v>
      </c>
      <c r="N341">
        <v>2</v>
      </c>
      <c r="O341">
        <v>3.7</v>
      </c>
      <c r="P341" s="90">
        <v>9</v>
      </c>
      <c r="Q341">
        <v>6.9</v>
      </c>
      <c r="R341">
        <v>0.9</v>
      </c>
      <c r="S341" t="s">
        <v>1034</v>
      </c>
      <c r="T341" t="str">
        <f>_xlfn.DISPIMG("ID_8594350670894A83994259256103CCA3",1)</f>
        <v>=DISPIMG("ID_8594350670894A83994259256103CCA3",1)</v>
      </c>
      <c r="U341" s="120" t="s">
        <v>623</v>
      </c>
      <c r="V341" s="82" t="s">
        <v>29</v>
      </c>
      <c r="W341" s="20" t="s">
        <v>1035</v>
      </c>
      <c r="X341"/>
    </row>
    <row r="342" customHeight="1" spans="1:24">
      <c r="A342" s="3" t="s">
        <v>1036</v>
      </c>
      <c r="B342" s="4">
        <v>28061500</v>
      </c>
      <c r="C342" s="4"/>
      <c r="D342" s="4">
        <v>0.5</v>
      </c>
      <c r="E342" s="4"/>
      <c r="F342" s="4"/>
      <c r="G342" s="4"/>
      <c r="H342" s="4">
        <v>27153500</v>
      </c>
      <c r="I342" s="4">
        <f>100-100*H342/B342</f>
        <v>3.23575004899952</v>
      </c>
      <c r="K342" s="4">
        <v>4.2</v>
      </c>
      <c r="L342" s="7">
        <v>44988.4583333333</v>
      </c>
      <c r="M342" s="8">
        <v>11</v>
      </c>
      <c r="N342"/>
      <c r="O342"/>
      <c r="P342"/>
      <c r="Q342"/>
      <c r="R342"/>
      <c r="S342" t="s">
        <v>1037</v>
      </c>
      <c r="T342" t="str">
        <f>_xlfn.DISPIMG("ID_CE8A86EF0C0C4322ABF13441A2BBB1D7",1)</f>
        <v>=DISPIMG("ID_CE8A86EF0C0C4322ABF13441A2BBB1D7",1)</v>
      </c>
      <c r="U342" s="13" t="s">
        <v>836</v>
      </c>
      <c r="V342" s="29" t="s">
        <v>1038</v>
      </c>
      <c r="W342"/>
      <c r="X342"/>
    </row>
    <row r="343" customHeight="1" spans="1:24">
      <c r="A343" s="3" t="s">
        <v>1039</v>
      </c>
      <c r="B343" s="4">
        <v>5530117.97</v>
      </c>
      <c r="D343" s="4">
        <v>101.2</v>
      </c>
      <c r="E343" s="4"/>
      <c r="H343" s="4">
        <v>5234211.29</v>
      </c>
      <c r="I343" s="4">
        <f>100-100*H343/B343</f>
        <v>5.35082039126915</v>
      </c>
      <c r="K343" s="4">
        <v>6.64</v>
      </c>
      <c r="L343" s="7">
        <v>44992.3958333333</v>
      </c>
      <c r="M343" s="8">
        <v>730</v>
      </c>
      <c r="N343"/>
      <c r="O343"/>
      <c r="P343"/>
      <c r="Q343"/>
      <c r="R343"/>
      <c r="S343" t="s">
        <v>1040</v>
      </c>
      <c r="T343" t="str">
        <f>_xlfn.DISPIMG("ID_B45AC5B0931F41358AA01BD5585B5788",1)</f>
        <v>=DISPIMG("ID_B45AC5B0931F41358AA01BD5585B5788",1)</v>
      </c>
      <c r="U343" t="s">
        <v>119</v>
      </c>
      <c r="V343" s="5" t="s">
        <v>464</v>
      </c>
      <c r="W343" s="20"/>
      <c r="X343"/>
    </row>
    <row r="344" customHeight="1" spans="1:23">
      <c r="A344" s="117" t="s">
        <v>1041</v>
      </c>
      <c r="B344" s="4">
        <v>5037144.91</v>
      </c>
      <c r="C344" s="4">
        <v>4791669.72</v>
      </c>
      <c r="D344" s="4">
        <f>AVERAGE(O344:Q344)</f>
        <v>4.8</v>
      </c>
      <c r="E344" s="4">
        <f>R344</f>
        <v>0.7</v>
      </c>
      <c r="F344" s="4">
        <f>(C344-B344*(1-0.01*D344)*E344)/(B344*(1-E344))</f>
        <v>0.949556661967596</v>
      </c>
      <c r="G344" s="4">
        <f>100-100*F344</f>
        <v>5.04433380324039</v>
      </c>
      <c r="H344" s="4">
        <v>4791281.87</v>
      </c>
      <c r="I344" s="4">
        <f>100-100*H344/B344</f>
        <v>4.88099993930888</v>
      </c>
      <c r="K344" s="4">
        <v>5.8</v>
      </c>
      <c r="L344" s="7">
        <v>44992.3958333333</v>
      </c>
      <c r="M344" s="8">
        <v>142</v>
      </c>
      <c r="N344" s="13">
        <v>1</v>
      </c>
      <c r="O344" s="13">
        <v>1.3</v>
      </c>
      <c r="P344" s="13">
        <v>4.2</v>
      </c>
      <c r="Q344" s="13">
        <v>8.9</v>
      </c>
      <c r="R344" s="13">
        <v>0.7</v>
      </c>
      <c r="S344" s="13" t="s">
        <v>1042</v>
      </c>
      <c r="T344" t="str">
        <f>_xlfn.DISPIMG("ID_39A08211ED6A4076AB89912F4CD96E32",1)</f>
        <v>=DISPIMG("ID_39A08211ED6A4076AB89912F4CD96E32",1)</v>
      </c>
      <c r="U344" s="66" t="s">
        <v>426</v>
      </c>
      <c r="V344" s="82" t="s">
        <v>29</v>
      </c>
      <c r="W344" s="130" t="s">
        <v>1043</v>
      </c>
    </row>
    <row r="345" customHeight="1" spans="1:24">
      <c r="A345" s="3" t="s">
        <v>1044</v>
      </c>
      <c r="B345" s="4">
        <v>2488254.43</v>
      </c>
      <c r="C345" s="4"/>
      <c r="D345" s="4">
        <f>AVERAGE(O345:Q345)</f>
        <v>4.73333333333333</v>
      </c>
      <c r="E345" s="4">
        <f>R345</f>
        <v>0.1</v>
      </c>
      <c r="H345" s="4">
        <v>2365583.49</v>
      </c>
      <c r="I345" s="4">
        <f>100-100*H345/B345</f>
        <v>4.92999986339821</v>
      </c>
      <c r="K345" s="4">
        <v>5</v>
      </c>
      <c r="L345" s="7">
        <v>44992.3958333333</v>
      </c>
      <c r="M345" s="8">
        <v>91</v>
      </c>
      <c r="N345">
        <v>4</v>
      </c>
      <c r="O345">
        <v>8.5</v>
      </c>
      <c r="P345">
        <v>2.5</v>
      </c>
      <c r="Q345">
        <v>3.2</v>
      </c>
      <c r="R345">
        <v>0.1</v>
      </c>
      <c r="S345" t="s">
        <v>1045</v>
      </c>
      <c r="T345" t="str">
        <f>_xlfn.DISPIMG("ID_39A08211ED6A4076AB89912F4CD96E32",1)</f>
        <v>=DISPIMG("ID_39A08211ED6A4076AB89912F4CD96E32",1)</v>
      </c>
      <c r="U345" s="120" t="s">
        <v>426</v>
      </c>
      <c r="V345" s="82" t="s">
        <v>29</v>
      </c>
      <c r="W345" s="34" t="s">
        <v>1046</v>
      </c>
      <c r="X345"/>
    </row>
    <row r="346" customHeight="1" spans="1:24">
      <c r="A346" s="3" t="s">
        <v>1047</v>
      </c>
      <c r="B346" s="4">
        <v>1431609.53</v>
      </c>
      <c r="D346" s="4">
        <f>AVERAGE(O346:Q346)</f>
        <v>4.13333333333333</v>
      </c>
      <c r="E346" s="4">
        <v>0.9</v>
      </c>
      <c r="F346" s="4"/>
      <c r="G346" s="4"/>
      <c r="H346" s="4" t="s">
        <v>1048</v>
      </c>
      <c r="I346" s="4">
        <f>100-100*H346/B346</f>
        <v>4.18299953619336</v>
      </c>
      <c r="K346" s="4">
        <v>8.6</v>
      </c>
      <c r="L346" s="7">
        <v>44992.3958333333</v>
      </c>
      <c r="M346" s="8"/>
      <c r="N346" s="111">
        <v>3</v>
      </c>
      <c r="O346" s="111">
        <v>1.6</v>
      </c>
      <c r="P346" s="111">
        <v>2.6</v>
      </c>
      <c r="Q346" s="111">
        <v>8.2</v>
      </c>
      <c r="R346" s="111">
        <v>0.9</v>
      </c>
      <c r="S346" s="35" t="s">
        <v>1049</v>
      </c>
      <c r="T346" t="str">
        <f>_xlfn.DISPIMG("ID_39A08211ED6A4076AB89912F4CD96E32",1)</f>
        <v>=DISPIMG("ID_39A08211ED6A4076AB89912F4CD96E32",1)</v>
      </c>
      <c r="U346" s="120" t="s">
        <v>426</v>
      </c>
      <c r="V346" s="86" t="s">
        <v>59</v>
      </c>
      <c r="W346"/>
      <c r="X346"/>
    </row>
    <row r="347" customHeight="1" spans="1:23">
      <c r="A347" s="3" t="s">
        <v>1050</v>
      </c>
      <c r="B347" s="4">
        <v>23505451.07</v>
      </c>
      <c r="C347" s="4">
        <v>22356757.72</v>
      </c>
      <c r="D347" s="4">
        <f>AVERAGE(O347:Q347)</f>
        <v>3.73333333333333</v>
      </c>
      <c r="E347" s="4">
        <f>R347</f>
        <v>0.7</v>
      </c>
      <c r="F347" s="4">
        <f>(C347-B347*(1-0.01*D347)*E347)/(B347*(1-E347))</f>
        <v>0.924213669920533</v>
      </c>
      <c r="G347" s="4">
        <f>100-100*F347</f>
        <v>7.57863300794673</v>
      </c>
      <c r="H347" s="4">
        <v>22330178.52</v>
      </c>
      <c r="I347" s="4">
        <f>100-100*H347/B347</f>
        <v>4.99999998510984</v>
      </c>
      <c r="K347" s="4">
        <v>6.6</v>
      </c>
      <c r="L347" s="7">
        <v>44992.4583333333</v>
      </c>
      <c r="M347" s="8">
        <v>150</v>
      </c>
      <c r="N347" s="13">
        <v>1</v>
      </c>
      <c r="O347" s="13">
        <v>5.7</v>
      </c>
      <c r="P347" s="13">
        <v>4.1</v>
      </c>
      <c r="Q347" s="13">
        <v>1.4</v>
      </c>
      <c r="R347" s="13">
        <v>0.7</v>
      </c>
      <c r="S347" s="61" t="s">
        <v>1051</v>
      </c>
      <c r="T347" t="str">
        <f>_xlfn.DISPIMG("ID_8594350670894A83994259256103CCA3",1)</f>
        <v>=DISPIMG("ID_8594350670894A83994259256103CCA3",1)</v>
      </c>
      <c r="U347" s="66" t="s">
        <v>623</v>
      </c>
      <c r="V347" s="82" t="s">
        <v>29</v>
      </c>
      <c r="W347" s="52" t="s">
        <v>1052</v>
      </c>
    </row>
    <row r="348" customHeight="1" spans="1:24">
      <c r="A348" s="3" t="s">
        <v>1053</v>
      </c>
      <c r="B348" s="4">
        <v>11204733</v>
      </c>
      <c r="D348" s="4">
        <v>98.8</v>
      </c>
      <c r="H348" s="4">
        <v>10360085.15</v>
      </c>
      <c r="I348" s="4">
        <f>100-100*H348/B348</f>
        <v>7.53831305038683</v>
      </c>
      <c r="K348" s="4">
        <v>5.56</v>
      </c>
      <c r="L348" s="7">
        <v>45000.3958333333</v>
      </c>
      <c r="M348" s="8">
        <v>1232</v>
      </c>
      <c r="N348"/>
      <c r="O348"/>
      <c r="P348"/>
      <c r="Q348"/>
      <c r="R348"/>
      <c r="S348" t="s">
        <v>1054</v>
      </c>
      <c r="T348" t="str">
        <f>_xlfn.DISPIMG("ID_B45AC5B0931F41358AA01BD5585B5788",1)</f>
        <v>=DISPIMG("ID_B45AC5B0931F41358AA01BD5585B5788",1)</v>
      </c>
      <c r="U348" t="s">
        <v>119</v>
      </c>
      <c r="V348" s="5" t="s">
        <v>120</v>
      </c>
      <c r="W348" s="20"/>
      <c r="X348"/>
    </row>
    <row r="349" customHeight="1" spans="1:24">
      <c r="A349" s="3" t="s">
        <v>1055</v>
      </c>
      <c r="B349" s="4">
        <v>7600175.64</v>
      </c>
      <c r="C349" s="4">
        <v>7185874.23</v>
      </c>
      <c r="D349" s="4">
        <v>0.2</v>
      </c>
      <c r="F349" s="4">
        <f>(H349/B349-D349)/(1-D349)</f>
        <v>0.964591020622781</v>
      </c>
      <c r="G349" s="4">
        <f>100-100*F349</f>
        <v>3.54089793772185</v>
      </c>
      <c r="H349" s="4">
        <v>7384884.07</v>
      </c>
      <c r="I349" s="4">
        <f>100-100*H349/B349</f>
        <v>2.83271835017749</v>
      </c>
      <c r="K349" s="4">
        <v>3.56</v>
      </c>
      <c r="L349" s="7">
        <v>45007.3958333333</v>
      </c>
      <c r="M349" s="8">
        <v>1123</v>
      </c>
      <c r="N349"/>
      <c r="O349"/>
      <c r="P349"/>
      <c r="Q349"/>
      <c r="R349"/>
      <c r="S349" t="s">
        <v>1056</v>
      </c>
      <c r="T349" t="str">
        <f>_xlfn.DISPIMG("ID_551AB00842DD4707AE7EFED2FE04BA86",1)</f>
        <v>=DISPIMG("ID_551AB00842DD4707AE7EFED2FE04BA86",1)</v>
      </c>
      <c r="U349" s="13" t="s">
        <v>1057</v>
      </c>
      <c r="V349" s="5" t="s">
        <v>581</v>
      </c>
      <c r="W349" s="5" t="s">
        <v>1058</v>
      </c>
      <c r="X349"/>
    </row>
    <row r="350" customHeight="1" spans="1:24">
      <c r="A350" s="3" t="s">
        <v>1059</v>
      </c>
      <c r="B350" s="4">
        <v>7192279.2</v>
      </c>
      <c r="C350" s="4">
        <v>6962421.4</v>
      </c>
      <c r="D350" s="4">
        <v>0.2</v>
      </c>
      <c r="F350" s="4">
        <f>(H350/B350-D350)/(1-D350)</f>
        <v>0.977344440062894</v>
      </c>
      <c r="G350" s="4">
        <f>100-100*F350</f>
        <v>2.26555599371059</v>
      </c>
      <c r="H350" s="4">
        <v>7061923.11</v>
      </c>
      <c r="I350" s="4">
        <f>100-100*H350/B350</f>
        <v>1.81244479496847</v>
      </c>
      <c r="K350" s="4">
        <v>1.86</v>
      </c>
      <c r="L350" s="7">
        <v>45008.3958333333</v>
      </c>
      <c r="M350" s="8">
        <v>1135</v>
      </c>
      <c r="N350"/>
      <c r="O350"/>
      <c r="P350"/>
      <c r="Q350"/>
      <c r="R350"/>
      <c r="S350" t="s">
        <v>1060</v>
      </c>
      <c r="T350" t="str">
        <f>_xlfn.DISPIMG("ID_4B3DF2AEEE564887924D22897D259763",1)</f>
        <v>=DISPIMG("ID_4B3DF2AEEE564887924D22897D259763",1)</v>
      </c>
      <c r="U350" s="13" t="s">
        <v>819</v>
      </c>
      <c r="V350" s="5" t="s">
        <v>581</v>
      </c>
      <c r="W350" s="5" t="s">
        <v>1058</v>
      </c>
      <c r="X350"/>
    </row>
    <row r="351" customHeight="1" spans="1:24">
      <c r="A351" s="117" t="s">
        <v>1061</v>
      </c>
      <c r="B351" s="4">
        <v>4314242.27</v>
      </c>
      <c r="C351" s="4">
        <v>4091163.77</v>
      </c>
      <c r="D351" s="4">
        <v>0.3</v>
      </c>
      <c r="F351" s="4">
        <f>(H351/B351-D351)/(1-D351)</f>
        <v>0.898942525410974</v>
      </c>
      <c r="G351" s="4">
        <f>100-100*F351</f>
        <v>10.1057474589026</v>
      </c>
      <c r="H351" s="4">
        <v>4009051.77</v>
      </c>
      <c r="I351" s="4">
        <f>100-100*H351/B351</f>
        <v>7.07402322123184</v>
      </c>
      <c r="K351" s="4">
        <v>3.6</v>
      </c>
      <c r="L351" s="7">
        <v>45015.375</v>
      </c>
      <c r="M351" s="8">
        <v>713</v>
      </c>
      <c r="N351"/>
      <c r="O351"/>
      <c r="P351"/>
      <c r="Q351"/>
      <c r="R351"/>
      <c r="S351" t="s">
        <v>1062</v>
      </c>
      <c r="T351" t="str">
        <f>_xlfn.DISPIMG("ID_D8F0F25F5E9C4095BF1F2A46256D89E5",1)</f>
        <v>=DISPIMG("ID_D8F0F25F5E9C4095BF1F2A46256D89E5",1)</v>
      </c>
      <c r="U351" s="13" t="s">
        <v>978</v>
      </c>
      <c r="V351" s="5" t="s">
        <v>581</v>
      </c>
      <c r="W351" s="41" t="s">
        <v>1063</v>
      </c>
      <c r="X351"/>
    </row>
    <row r="352" customHeight="1" spans="1:22">
      <c r="A352" s="3" t="s">
        <v>1064</v>
      </c>
      <c r="B352" s="4">
        <v>29486732.7</v>
      </c>
      <c r="C352" s="4">
        <v>27881092.04</v>
      </c>
      <c r="D352" s="4">
        <f>AVERAGE(O352:Q352)</f>
        <v>5.2</v>
      </c>
      <c r="E352" s="4">
        <v>0.5</v>
      </c>
      <c r="F352" s="4">
        <f>(C352-B352*(1-0.01*D352)*E352)/(B352*(1-E352))</f>
        <v>0.943094026840078</v>
      </c>
      <c r="G352" s="4">
        <f>100-100*F352</f>
        <v>5.69059731599222</v>
      </c>
      <c r="H352" s="4">
        <v>27881769.84</v>
      </c>
      <c r="I352" s="4">
        <f>100-100*H352/B352</f>
        <v>5.44299999708004</v>
      </c>
      <c r="K352" s="4">
        <v>6.7</v>
      </c>
      <c r="L352" s="7">
        <v>45019.4166666667</v>
      </c>
      <c r="M352" s="8">
        <v>146</v>
      </c>
      <c r="N352" s="112">
        <v>4</v>
      </c>
      <c r="O352" s="112">
        <v>2.7</v>
      </c>
      <c r="P352" s="112">
        <v>7.3</v>
      </c>
      <c r="Q352" s="112">
        <v>5.6</v>
      </c>
      <c r="R352" s="112">
        <v>0.5</v>
      </c>
      <c r="S352" s="61" t="s">
        <v>1065</v>
      </c>
      <c r="T352" s="13" t="str">
        <f>_xlfn.DISPIMG("ID_EE563D7C5E3E42438E4C67A657B12613",1)</f>
        <v>=DISPIMG("ID_EE563D7C5E3E42438E4C67A657B12613",1)</v>
      </c>
      <c r="U352" s="66" t="s">
        <v>1066</v>
      </c>
      <c r="V352" s="86" t="s">
        <v>59</v>
      </c>
    </row>
    <row r="353" customHeight="1" spans="1:23">
      <c r="A353" s="117" t="s">
        <v>1067</v>
      </c>
      <c r="B353" s="4">
        <v>11116967.41</v>
      </c>
      <c r="C353" s="4">
        <v>10291059.15</v>
      </c>
      <c r="D353" s="4">
        <f>AVERAGE(O353:Q353)</f>
        <v>8.03333333333333</v>
      </c>
      <c r="E353" s="4">
        <f>R353</f>
        <v>0.7</v>
      </c>
      <c r="F353" s="4">
        <f>(C353-B353*(1-0.01*D353)*E353)/(B353*(1-E353))</f>
        <v>0.939802490321514</v>
      </c>
      <c r="G353" s="4">
        <f>100-100*F353</f>
        <v>6.01975096784861</v>
      </c>
      <c r="H353" s="4">
        <v>10292088.43</v>
      </c>
      <c r="I353" s="4">
        <f>100-100*H353/B353</f>
        <v>7.41999998361064</v>
      </c>
      <c r="K353" s="4">
        <v>6.3</v>
      </c>
      <c r="L353" s="7">
        <v>45023.3958333333</v>
      </c>
      <c r="M353" s="8">
        <v>123</v>
      </c>
      <c r="N353" s="13">
        <v>4</v>
      </c>
      <c r="O353" s="13">
        <v>1.2</v>
      </c>
      <c r="P353" s="13">
        <v>7.9</v>
      </c>
      <c r="Q353" s="13">
        <v>15</v>
      </c>
      <c r="R353" s="13">
        <v>0.7</v>
      </c>
      <c r="S353" s="13" t="s">
        <v>1068</v>
      </c>
      <c r="T353" t="str">
        <f>_xlfn.DISPIMG("ID_8594350670894A83994259256103CCA3",1)</f>
        <v>=DISPIMG("ID_8594350670894A83994259256103CCA3",1)</v>
      </c>
      <c r="U353" s="66" t="s">
        <v>623</v>
      </c>
      <c r="V353" s="82" t="s">
        <v>29</v>
      </c>
      <c r="W353" s="55" t="s">
        <v>1069</v>
      </c>
    </row>
    <row r="354" customHeight="1" spans="1:23">
      <c r="A354" s="3" t="s">
        <v>1070</v>
      </c>
      <c r="B354" s="4">
        <v>11711104.99</v>
      </c>
      <c r="C354" s="4">
        <v>10646380.62</v>
      </c>
      <c r="D354" s="4">
        <f>AVERAGE(O354:Q354)</f>
        <v>9.56666666666667</v>
      </c>
      <c r="E354" s="4">
        <f>R354</f>
        <v>0.3</v>
      </c>
      <c r="F354" s="4">
        <f>(C354-B354*(1-0.01*D354)*E354)/(B354*(1-E354))</f>
        <v>0.911120299016659</v>
      </c>
      <c r="G354" s="4">
        <f>100-100*F354</f>
        <v>8.88797009833412</v>
      </c>
      <c r="H354" s="4">
        <v>10646682.66</v>
      </c>
      <c r="I354" s="4">
        <f>100-100*H354/B354</f>
        <v>9.0889999783018</v>
      </c>
      <c r="K354" s="4">
        <v>10.2</v>
      </c>
      <c r="L354" s="7">
        <v>45026.4166666667</v>
      </c>
      <c r="M354" s="8">
        <v>160</v>
      </c>
      <c r="N354" s="13">
        <v>3</v>
      </c>
      <c r="O354" s="13">
        <v>13.6</v>
      </c>
      <c r="P354" s="13">
        <v>12.9</v>
      </c>
      <c r="Q354" s="13">
        <v>2.2</v>
      </c>
      <c r="R354" s="13">
        <v>0.3</v>
      </c>
      <c r="S354" s="13" t="s">
        <v>1071</v>
      </c>
      <c r="T354" s="13" t="str">
        <f>_xlfn.DISPIMG("ID_995273D54DAC4FB0A658266E8F0CD74B",1)</f>
        <v>=DISPIMG("ID_995273D54DAC4FB0A658266E8F0CD74B",1)</v>
      </c>
      <c r="U354" s="66" t="s">
        <v>828</v>
      </c>
      <c r="V354" s="82" t="s">
        <v>29</v>
      </c>
      <c r="W354" s="52" t="s">
        <v>1072</v>
      </c>
    </row>
    <row r="355" customHeight="1" spans="1:23">
      <c r="A355" s="3" t="s">
        <v>1073</v>
      </c>
      <c r="B355" s="4">
        <v>4428536.45</v>
      </c>
      <c r="C355" s="4">
        <v>4094709.71</v>
      </c>
      <c r="D355" s="4">
        <f>AVERAGE(O355:Q355)</f>
        <v>8.6</v>
      </c>
      <c r="E355" s="4">
        <f>R355</f>
        <v>0.3</v>
      </c>
      <c r="F355" s="4">
        <f>(C355-B355*(1-0.01*D355)*E355)/(B355*(1-E355))</f>
        <v>0.929170247143065</v>
      </c>
      <c r="G355" s="4">
        <f>100-100*F355</f>
        <v>7.08297528569352</v>
      </c>
      <c r="H355" s="4">
        <v>4094598.23</v>
      </c>
      <c r="I355" s="4">
        <f>100-100*H355/B355</f>
        <v>7.54060001019073</v>
      </c>
      <c r="K355" s="4">
        <v>6.6</v>
      </c>
      <c r="L355" s="7">
        <v>45027.3958333333</v>
      </c>
      <c r="M355" s="8">
        <v>151</v>
      </c>
      <c r="N355" s="13">
        <v>4</v>
      </c>
      <c r="O355" s="13">
        <v>11.7</v>
      </c>
      <c r="P355" s="13">
        <v>6.2</v>
      </c>
      <c r="Q355" s="13">
        <v>7.9</v>
      </c>
      <c r="R355" s="13">
        <v>0.3</v>
      </c>
      <c r="S355" s="13" t="s">
        <v>1074</v>
      </c>
      <c r="T355" t="str">
        <f>_xlfn.DISPIMG("ID_8594350670894A83994259256103CCA3",1)</f>
        <v>=DISPIMG("ID_8594350670894A83994259256103CCA3",1)</v>
      </c>
      <c r="U355" s="66" t="s">
        <v>623</v>
      </c>
      <c r="V355" s="82" t="s">
        <v>29</v>
      </c>
      <c r="W355" s="52" t="s">
        <v>1075</v>
      </c>
    </row>
    <row r="356" customHeight="1" spans="1:24">
      <c r="A356" s="3" t="s">
        <v>1076</v>
      </c>
      <c r="B356" s="4">
        <v>3513967.32</v>
      </c>
      <c r="D356" s="4">
        <v>102</v>
      </c>
      <c r="H356" s="4">
        <v>3359732.83</v>
      </c>
      <c r="I356" s="4">
        <f>100-100*H356/B356</f>
        <v>4.38918396087986</v>
      </c>
      <c r="K356" s="4">
        <v>7.5</v>
      </c>
      <c r="L356" s="7">
        <v>45028.3958333333</v>
      </c>
      <c r="M356" s="8">
        <v>557</v>
      </c>
      <c r="N356"/>
      <c r="O356"/>
      <c r="P356"/>
      <c r="Q356"/>
      <c r="R356"/>
      <c r="S356" t="s">
        <v>1077</v>
      </c>
      <c r="T356" t="str">
        <f>_xlfn.DISPIMG("ID_B45AC5B0931F41358AA01BD5585B5788",1)</f>
        <v>=DISPIMG("ID_B45AC5B0931F41358AA01BD5585B5788",1)</v>
      </c>
      <c r="U356" t="s">
        <v>119</v>
      </c>
      <c r="V356" s="5" t="s">
        <v>1078</v>
      </c>
      <c r="W356" s="20"/>
      <c r="X356"/>
    </row>
    <row r="357" customHeight="1" spans="1:23">
      <c r="A357" s="3" t="s">
        <v>1079</v>
      </c>
      <c r="B357" s="4">
        <v>4849515.92</v>
      </c>
      <c r="C357" s="4">
        <v>4427854.43</v>
      </c>
      <c r="D357" s="4">
        <f>AVERAGE(O357:Q357)</f>
        <v>9.4</v>
      </c>
      <c r="E357" s="4">
        <f>R357</f>
        <v>0.7</v>
      </c>
      <c r="F357" s="4">
        <f>(C357-B357*(1-0.01*D357)*E357)/(B357*(1-E357))</f>
        <v>0.929502693907368</v>
      </c>
      <c r="G357" s="4">
        <f>100-100*F357</f>
        <v>7.04973060926324</v>
      </c>
      <c r="H357" s="4">
        <v>4428400.19</v>
      </c>
      <c r="I357" s="4">
        <f>100-100*H357/B357</f>
        <v>8.68366527601789</v>
      </c>
      <c r="K357" s="4">
        <v>7.6</v>
      </c>
      <c r="L357" s="7">
        <v>45028.3958333333</v>
      </c>
      <c r="M357" s="8">
        <v>147</v>
      </c>
      <c r="N357" s="13">
        <v>3</v>
      </c>
      <c r="O357" s="13">
        <v>7.6</v>
      </c>
      <c r="P357" s="13">
        <v>5.9</v>
      </c>
      <c r="Q357" s="13">
        <v>14.7</v>
      </c>
      <c r="R357" s="13">
        <v>0.7</v>
      </c>
      <c r="S357" s="61" t="s">
        <v>1080</v>
      </c>
      <c r="T357" t="str">
        <f>_xlfn.DISPIMG("ID_8594350670894A83994259256103CCA3",1)</f>
        <v>=DISPIMG("ID_8594350670894A83994259256103CCA3",1)</v>
      </c>
      <c r="U357" s="66" t="s">
        <v>623</v>
      </c>
      <c r="V357" s="82" t="s">
        <v>29</v>
      </c>
      <c r="W357" s="52" t="s">
        <v>1081</v>
      </c>
    </row>
    <row r="358" customHeight="1" spans="1:24">
      <c r="A358" s="3" t="s">
        <v>1082</v>
      </c>
      <c r="B358" s="4">
        <v>12960620.19</v>
      </c>
      <c r="C358" s="4">
        <v>12262082.78</v>
      </c>
      <c r="D358" s="4">
        <v>0.3</v>
      </c>
      <c r="E358" s="4"/>
      <c r="F358" s="4">
        <f>(H358/B358-D358)/(1-D358)</f>
        <v>0.921700000288115</v>
      </c>
      <c r="G358" s="4">
        <f>100-100*F358</f>
        <v>7.82999997118854</v>
      </c>
      <c r="H358" s="4">
        <v>12250248.6</v>
      </c>
      <c r="I358" s="4">
        <f>100-100*H358/B358</f>
        <v>5.48099997983198</v>
      </c>
      <c r="K358" s="4">
        <v>2.86</v>
      </c>
      <c r="L358" s="7">
        <v>45029.4583333333</v>
      </c>
      <c r="M358" s="8">
        <v>240</v>
      </c>
      <c r="N358"/>
      <c r="O358"/>
      <c r="P358"/>
      <c r="Q358"/>
      <c r="R358"/>
      <c r="S358" t="s">
        <v>1083</v>
      </c>
      <c r="T358" t="str">
        <f>_xlfn.DISPIMG("ID_7CFD3D00FB5F4930830C4CD282BB90A8",1)</f>
        <v>=DISPIMG("ID_7CFD3D00FB5F4930830C4CD282BB90A8",1)</v>
      </c>
      <c r="U358" s="13" t="s">
        <v>1084</v>
      </c>
      <c r="V358" s="5" t="s">
        <v>581</v>
      </c>
      <c r="W358" s="5" t="s">
        <v>1085</v>
      </c>
      <c r="X358"/>
    </row>
    <row r="359" customHeight="1" spans="1:24">
      <c r="A359" s="128" t="s">
        <v>1086</v>
      </c>
      <c r="B359" s="4">
        <v>5841981.73</v>
      </c>
      <c r="C359" s="4">
        <v>5729621.45</v>
      </c>
      <c r="D359" s="4">
        <v>0.3</v>
      </c>
      <c r="E359" s="4"/>
      <c r="F359" s="4">
        <f>(H359/B359-D359)/(1-D359)</f>
        <v>0.972357141995278</v>
      </c>
      <c r="G359" s="4">
        <f>100-100*F359</f>
        <v>2.76428580047224</v>
      </c>
      <c r="H359" s="4">
        <v>5728939.38</v>
      </c>
      <c r="I359" s="4">
        <f>100-100*H359/B359</f>
        <v>1.93500006033057</v>
      </c>
      <c r="K359" s="4">
        <v>3.66</v>
      </c>
      <c r="L359" s="7">
        <v>45030.3958333333</v>
      </c>
      <c r="M359" s="8">
        <v>1041</v>
      </c>
      <c r="N359"/>
      <c r="O359"/>
      <c r="P359"/>
      <c r="Q359"/>
      <c r="R359"/>
      <c r="S359" t="s">
        <v>1087</v>
      </c>
      <c r="T359" t="str">
        <f>_xlfn.DISPIMG("ID_7CFD3D00FB5F4930830C4CD282BB90A8",1)</f>
        <v>=DISPIMG("ID_7CFD3D00FB5F4930830C4CD282BB90A8",1)</v>
      </c>
      <c r="U359" s="13" t="s">
        <v>1084</v>
      </c>
      <c r="V359" s="5" t="s">
        <v>581</v>
      </c>
      <c r="W359" s="33" t="s">
        <v>1088</v>
      </c>
      <c r="X359"/>
    </row>
    <row r="360" customHeight="1" spans="1:23">
      <c r="A360" s="3" t="s">
        <v>1089</v>
      </c>
      <c r="B360" s="4">
        <v>4262455.74</v>
      </c>
      <c r="C360" s="4">
        <v>3923607.29</v>
      </c>
      <c r="D360" s="4">
        <f>AVERAGE(O360:Q360)</f>
        <v>7.9</v>
      </c>
      <c r="E360" s="4">
        <f>R360</f>
        <v>0.9</v>
      </c>
      <c r="F360" s="4">
        <f>(C360-B360*(1-0.01*D360)*E360)/(B360*(1-E360))</f>
        <v>0.916039370097951</v>
      </c>
      <c r="G360" s="4">
        <f>100-100*F360</f>
        <v>8.39606299020491</v>
      </c>
      <c r="H360" s="4">
        <v>3923169.65</v>
      </c>
      <c r="I360" s="4">
        <f>100-100*H360/B360</f>
        <v>7.95987361970825</v>
      </c>
      <c r="K360" s="4">
        <v>5.7</v>
      </c>
      <c r="L360" s="7">
        <v>45033.3958333333</v>
      </c>
      <c r="M360" s="8">
        <v>149</v>
      </c>
      <c r="N360" s="13">
        <v>2</v>
      </c>
      <c r="O360" s="13">
        <v>0.5</v>
      </c>
      <c r="P360" s="13">
        <v>14.1</v>
      </c>
      <c r="Q360" s="13">
        <v>9.1</v>
      </c>
      <c r="R360" s="13">
        <v>0.9</v>
      </c>
      <c r="S360" s="61" t="s">
        <v>1090</v>
      </c>
      <c r="T360" s="13" t="str">
        <f>_xlfn.DISPIMG("ID_D42B1560010B49D09E86F0EC256AB297",1)</f>
        <v>=DISPIMG("ID_D42B1560010B49D09E86F0EC256AB297",1)</v>
      </c>
      <c r="U360" s="66" t="s">
        <v>1091</v>
      </c>
      <c r="V360" s="82" t="s">
        <v>29</v>
      </c>
      <c r="W360" s="49" t="s">
        <v>1092</v>
      </c>
    </row>
    <row r="361" customHeight="1" spans="1:22">
      <c r="A361" s="117" t="s">
        <v>1093</v>
      </c>
      <c r="B361" s="4">
        <v>13925405.31</v>
      </c>
      <c r="C361" s="4">
        <v>12747716.3</v>
      </c>
      <c r="D361" s="4">
        <f>AVERAGE(O361:Q361)</f>
        <v>8.73333333333333</v>
      </c>
      <c r="E361" s="4">
        <v>0.3</v>
      </c>
      <c r="F361" s="4">
        <f>(C361-B361*(1-0.01*D361)*E361)/(B361*(1-E361))</f>
        <v>0.916612492185233</v>
      </c>
      <c r="G361" s="4">
        <f>100-100*F361</f>
        <v>8.33875078147673</v>
      </c>
      <c r="H361" s="4">
        <v>12747464.16</v>
      </c>
      <c r="I361" s="4">
        <f>100-100*H361/B361</f>
        <v>8.45893619451138</v>
      </c>
      <c r="K361" s="4">
        <v>7.6</v>
      </c>
      <c r="L361" s="7">
        <v>45034.4583333333</v>
      </c>
      <c r="M361" s="8">
        <v>146</v>
      </c>
      <c r="N361" s="112">
        <v>1</v>
      </c>
      <c r="O361" s="112">
        <v>9</v>
      </c>
      <c r="P361" s="112">
        <v>8.7</v>
      </c>
      <c r="Q361" s="112">
        <v>8.5</v>
      </c>
      <c r="R361" s="112">
        <v>0.3</v>
      </c>
      <c r="S361" s="61" t="s">
        <v>1094</v>
      </c>
      <c r="T361" t="str">
        <f>_xlfn.DISPIMG("ID_314B68A0415F43F985B023E0395B141C",1)</f>
        <v>=DISPIMG("ID_314B68A0415F43F985B023E0395B141C",1)</v>
      </c>
      <c r="U361" s="66" t="s">
        <v>467</v>
      </c>
      <c r="V361" s="86" t="s">
        <v>59</v>
      </c>
    </row>
    <row r="362" customHeight="1" spans="1:24">
      <c r="A362" s="3" t="s">
        <v>1095</v>
      </c>
      <c r="B362" s="4">
        <v>1577335</v>
      </c>
      <c r="D362" s="4">
        <f>AVERAGE(O362:Q362)</f>
        <v>4.66666666666667</v>
      </c>
      <c r="H362" s="4">
        <v>1505215</v>
      </c>
      <c r="I362" s="4">
        <f>100-100*H362/B362</f>
        <v>4.57226904874361</v>
      </c>
      <c r="K362" s="4">
        <v>6</v>
      </c>
      <c r="L362" s="7">
        <v>45035.375</v>
      </c>
      <c r="M362" s="8">
        <v>3</v>
      </c>
      <c r="N362" s="111"/>
      <c r="O362" s="111">
        <v>4.4</v>
      </c>
      <c r="P362" s="111">
        <v>2</v>
      </c>
      <c r="Q362" s="111">
        <v>7.6</v>
      </c>
      <c r="R362" s="111"/>
      <c r="S362" s="35" t="s">
        <v>1096</v>
      </c>
      <c r="T362" t="str">
        <f>_xlfn.DISPIMG("ID_E5E595E28C1F4E35A7911A36D52C7A8B",1)</f>
        <v>=DISPIMG("ID_E5E595E28C1F4E35A7911A36D52C7A8B",1)</v>
      </c>
      <c r="U362" s="120" t="s">
        <v>1097</v>
      </c>
      <c r="V362"/>
      <c r="W362"/>
      <c r="X362"/>
    </row>
    <row r="363" customHeight="1" spans="1:24">
      <c r="A363" s="3" t="s">
        <v>1098</v>
      </c>
      <c r="B363" s="4">
        <v>7163300.92</v>
      </c>
      <c r="D363" s="4">
        <v>100.4</v>
      </c>
      <c r="H363" s="4">
        <v>6701268.01</v>
      </c>
      <c r="I363" s="4">
        <f>100-100*H363/B363</f>
        <v>6.45000000921362</v>
      </c>
      <c r="K363" s="4">
        <v>5.4</v>
      </c>
      <c r="L363" s="7">
        <v>45035.3958333333</v>
      </c>
      <c r="M363" s="8">
        <v>799</v>
      </c>
      <c r="N363"/>
      <c r="O363"/>
      <c r="P363"/>
      <c r="Q363"/>
      <c r="R363"/>
      <c r="S363" t="s">
        <v>1099</v>
      </c>
      <c r="T363" t="str">
        <f>_xlfn.DISPIMG("ID_B45AC5B0931F41358AA01BD5585B5788",1)</f>
        <v>=DISPIMG("ID_B45AC5B0931F41358AA01BD5585B5788",1)</v>
      </c>
      <c r="U363" t="s">
        <v>119</v>
      </c>
      <c r="V363" s="5" t="s">
        <v>539</v>
      </c>
      <c r="W363" s="20"/>
      <c r="X363"/>
    </row>
    <row r="364" customHeight="1" spans="1:23">
      <c r="A364" s="117" t="s">
        <v>1100</v>
      </c>
      <c r="B364" s="4">
        <v>26494726.67</v>
      </c>
      <c r="C364" s="4">
        <v>24425187.25</v>
      </c>
      <c r="D364" s="4">
        <f>AVERAGE(O364:Q364)</f>
        <v>6.16666666666667</v>
      </c>
      <c r="E364" s="4">
        <v>0.3</v>
      </c>
      <c r="F364" s="4">
        <f>(C364-B364*(1-0.01*D364)*E364)/(B364*(1-E364))</f>
        <v>0.914840898812122</v>
      </c>
      <c r="G364" s="4">
        <f>100-100*F364</f>
        <v>8.51591011878784</v>
      </c>
      <c r="H364" s="4">
        <v>24432388.36</v>
      </c>
      <c r="I364" s="4">
        <f>100-100*H364/B364</f>
        <v>7.78395767462357</v>
      </c>
      <c r="K364" s="4">
        <v>4.3</v>
      </c>
      <c r="L364" s="7">
        <v>45035.4583333333</v>
      </c>
      <c r="M364" s="8">
        <v>113</v>
      </c>
      <c r="N364" s="112">
        <v>3</v>
      </c>
      <c r="O364" s="112">
        <v>5.5</v>
      </c>
      <c r="P364" s="112">
        <v>5.8</v>
      </c>
      <c r="Q364" s="112">
        <v>7.2</v>
      </c>
      <c r="R364" s="112">
        <v>0.3</v>
      </c>
      <c r="S364" s="61" t="s">
        <v>1101</v>
      </c>
      <c r="T364" s="13" t="str">
        <f>_xlfn.DISPIMG("ID_DD9DF61BF27045EFA289D59F01C40E1A",1)</f>
        <v>=DISPIMG("ID_DD9DF61BF27045EFA289D59F01C40E1A",1)</v>
      </c>
      <c r="U364" s="66" t="s">
        <v>1102</v>
      </c>
      <c r="V364" s="86" t="s">
        <v>59</v>
      </c>
      <c r="W364" s="13" t="s">
        <v>1023</v>
      </c>
    </row>
    <row r="365" customHeight="1" spans="1:23">
      <c r="A365" s="3" t="s">
        <v>1103</v>
      </c>
      <c r="B365" s="4">
        <v>28187877.76</v>
      </c>
      <c r="C365" s="4">
        <v>26187971.1</v>
      </c>
      <c r="D365" s="4">
        <f>AVERAGE(O365:Q365)</f>
        <v>4.6</v>
      </c>
      <c r="E365" s="4">
        <f>R365</f>
        <v>0.3</v>
      </c>
      <c r="F365" s="4">
        <f>(C365-B365*(1-0.01*D365)*E365)/(B365*(1-E365))</f>
        <v>0.918358322040428</v>
      </c>
      <c r="G365" s="4">
        <f>100-100*F365</f>
        <v>8.16416779595724</v>
      </c>
      <c r="H365" s="4">
        <v>26084723.83</v>
      </c>
      <c r="I365" s="4">
        <f>100-100*H365/B365</f>
        <v>7.46119998073952</v>
      </c>
      <c r="K365" s="4">
        <v>6.8</v>
      </c>
      <c r="L365" s="7">
        <v>45036.375</v>
      </c>
      <c r="M365" s="8">
        <v>134</v>
      </c>
      <c r="N365" s="13">
        <v>1</v>
      </c>
      <c r="O365" s="13">
        <v>9.1</v>
      </c>
      <c r="P365" s="13">
        <v>4.2</v>
      </c>
      <c r="Q365" s="13">
        <v>0.5</v>
      </c>
      <c r="R365" s="13">
        <v>0.3</v>
      </c>
      <c r="S365" s="13" t="s">
        <v>1104</v>
      </c>
      <c r="T365" t="str">
        <f>_xlfn.DISPIMG("ID_8594350670894A83994259256103CCA3",1)</f>
        <v>=DISPIMG("ID_8594350670894A83994259256103CCA3",1)</v>
      </c>
      <c r="U365" s="66" t="s">
        <v>623</v>
      </c>
      <c r="V365" s="82" t="s">
        <v>29</v>
      </c>
      <c r="W365" s="52" t="s">
        <v>1105</v>
      </c>
    </row>
    <row r="366" customHeight="1" spans="1:23">
      <c r="A366" s="3" t="s">
        <v>1106</v>
      </c>
      <c r="B366" s="4">
        <v>12128933.03</v>
      </c>
      <c r="C366" s="4">
        <v>11348094.3</v>
      </c>
      <c r="D366" s="4">
        <f>AVERAGE(O366:Q366)</f>
        <v>6.53333333333333</v>
      </c>
      <c r="F366" s="4">
        <f>(C366-B366*(1-0.01*D366)*E366)/(B366*(1-E366))</f>
        <v>0.935621812069648</v>
      </c>
      <c r="G366" s="4">
        <f>100-100*F366</f>
        <v>6.43781879303525</v>
      </c>
      <c r="H366" s="4">
        <v>11349527.79</v>
      </c>
      <c r="I366" s="4">
        <f>100-100*H366/B366</f>
        <v>6.4260000287923</v>
      </c>
      <c r="K366" s="4">
        <v>6.3</v>
      </c>
      <c r="L366" s="7">
        <v>45037.3541666667</v>
      </c>
      <c r="M366" s="8">
        <v>141</v>
      </c>
      <c r="N366" s="112">
        <v>2</v>
      </c>
      <c r="O366" s="112">
        <v>3.4</v>
      </c>
      <c r="P366" s="112">
        <v>6.3</v>
      </c>
      <c r="Q366" s="112">
        <v>9.9</v>
      </c>
      <c r="R366" s="112"/>
      <c r="S366" s="61" t="s">
        <v>1107</v>
      </c>
      <c r="T366" t="str">
        <f>_xlfn.DISPIMG("ID_39A08211ED6A4076AB89912F4CD96E32",1)</f>
        <v>=DISPIMG("ID_39A08211ED6A4076AB89912F4CD96E32",1)</v>
      </c>
      <c r="U366" s="66" t="s">
        <v>426</v>
      </c>
      <c r="V366" s="86" t="s">
        <v>59</v>
      </c>
      <c r="W366" s="13" t="s">
        <v>1108</v>
      </c>
    </row>
    <row r="367" customHeight="1" spans="1:24">
      <c r="A367" s="3" t="s">
        <v>1109</v>
      </c>
      <c r="B367" s="4">
        <v>9046007</v>
      </c>
      <c r="D367" s="4">
        <v>0.2</v>
      </c>
      <c r="F367" s="4">
        <f>(H367/B367-D367)/(1-D367)</f>
        <v>0.919999923723251</v>
      </c>
      <c r="G367" s="4">
        <f>100-100*F367</f>
        <v>8.00000762767485</v>
      </c>
      <c r="H367" s="4">
        <v>8467062</v>
      </c>
      <c r="I367" s="4">
        <f>100-100*H367/B367</f>
        <v>6.40000610213987</v>
      </c>
      <c r="K367" s="4">
        <v>7.3</v>
      </c>
      <c r="L367" s="7">
        <v>45041.375</v>
      </c>
      <c r="M367" s="8">
        <v>178</v>
      </c>
      <c r="N367"/>
      <c r="O367"/>
      <c r="P367"/>
      <c r="Q367"/>
      <c r="R367"/>
      <c r="S367" t="s">
        <v>1110</v>
      </c>
      <c r="T367" t="str">
        <f>_xlfn.DISPIMG("ID_7CFD3D00FB5F4930830C4CD282BB90A8",1)</f>
        <v>=DISPIMG("ID_7CFD3D00FB5F4930830C4CD282BB90A8",1)</v>
      </c>
      <c r="U367" s="13" t="s">
        <v>1084</v>
      </c>
      <c r="V367" s="5" t="s">
        <v>581</v>
      </c>
      <c r="W367"/>
      <c r="X367"/>
    </row>
    <row r="368" customHeight="1" spans="1:24">
      <c r="A368" s="3" t="s">
        <v>1111</v>
      </c>
      <c r="B368" s="129">
        <v>4590175.18</v>
      </c>
      <c r="C368" s="4"/>
      <c r="D368" s="4">
        <v>98</v>
      </c>
      <c r="H368" s="4">
        <v>4180731.55</v>
      </c>
      <c r="I368" s="4">
        <f>100-100*H368/B368</f>
        <v>8.92000008592264</v>
      </c>
      <c r="K368" s="4">
        <v>6.3</v>
      </c>
      <c r="L368" s="7">
        <v>45044.3958333333</v>
      </c>
      <c r="M368" s="8">
        <v>317</v>
      </c>
      <c r="N368"/>
      <c r="O368"/>
      <c r="P368"/>
      <c r="Q368"/>
      <c r="R368"/>
      <c r="S368" t="s">
        <v>1112</v>
      </c>
      <c r="T368" t="str">
        <f>_xlfn.DISPIMG("ID_B45AC5B0931F41358AA01BD5585B5788",1)</f>
        <v>=DISPIMG("ID_B45AC5B0931F41358AA01BD5585B5788",1)</v>
      </c>
      <c r="U368" t="s">
        <v>119</v>
      </c>
      <c r="V368" s="5" t="s">
        <v>539</v>
      </c>
      <c r="W368" s="5" t="s">
        <v>1113</v>
      </c>
      <c r="X368"/>
    </row>
    <row r="369" customHeight="1" spans="1:24">
      <c r="A369" s="3" t="s">
        <v>1114</v>
      </c>
      <c r="B369" s="4">
        <v>23277209.53</v>
      </c>
      <c r="D369" s="4">
        <v>0.3</v>
      </c>
      <c r="F369" s="4">
        <f>(H369/B369-D369)/(1-D369)</f>
        <v>0.95171521563147</v>
      </c>
      <c r="G369" s="4">
        <f>100-100*F369</f>
        <v>4.82847843685302</v>
      </c>
      <c r="H369" s="4">
        <v>22490455</v>
      </c>
      <c r="I369" s="4">
        <f>100-100*H369/B369</f>
        <v>3.37993490579711</v>
      </c>
      <c r="K369" s="4">
        <v>1.46</v>
      </c>
      <c r="L369" s="7">
        <v>45050.375</v>
      </c>
      <c r="M369" s="8">
        <v>39</v>
      </c>
      <c r="N369"/>
      <c r="O369"/>
      <c r="P369"/>
      <c r="Q369"/>
      <c r="R369"/>
      <c r="S369" t="s">
        <v>1115</v>
      </c>
      <c r="T369" t="str">
        <f>_xlfn.DISPIMG("ID_78D091679EC1484B9B58638A575F8F94",1)</f>
        <v>=DISPIMG("ID_78D091679EC1484B9B58638A575F8F94",1)</v>
      </c>
      <c r="U369" s="13" t="s">
        <v>1116</v>
      </c>
      <c r="V369" s="5" t="s">
        <v>581</v>
      </c>
      <c r="W369"/>
      <c r="X369"/>
    </row>
    <row r="370" customHeight="1" spans="1:24">
      <c r="A370" s="3" t="s">
        <v>1117</v>
      </c>
      <c r="B370" s="4">
        <v>23277209.53</v>
      </c>
      <c r="C370" s="4"/>
      <c r="D370" s="4">
        <v>0.2</v>
      </c>
      <c r="E370" s="4"/>
      <c r="F370" s="4">
        <f>(H370/B370-D370)/(1-D370)</f>
        <v>0.974982500082346</v>
      </c>
      <c r="G370" s="4">
        <f>100-100*F370</f>
        <v>2.50174999176545</v>
      </c>
      <c r="H370" s="4">
        <v>22811339.46</v>
      </c>
      <c r="I370" s="4">
        <f>100-100*H370/B370</f>
        <v>2.00139999341236</v>
      </c>
      <c r="K370" s="4">
        <v>3.37</v>
      </c>
      <c r="L370" s="7">
        <v>45050.375</v>
      </c>
      <c r="M370" s="8">
        <v>39</v>
      </c>
      <c r="N370"/>
      <c r="O370"/>
      <c r="P370"/>
      <c r="Q370"/>
      <c r="R370"/>
      <c r="S370" t="s">
        <v>1118</v>
      </c>
      <c r="T370" t="str">
        <f>_xlfn.DISPIMG("ID_78D091679EC1484B9B58638A575F8F94",1)</f>
        <v>=DISPIMG("ID_78D091679EC1484B9B58638A575F8F94",1)</v>
      </c>
      <c r="U370" s="13" t="s">
        <v>1119</v>
      </c>
      <c r="V370" s="5" t="s">
        <v>581</v>
      </c>
      <c r="W370"/>
      <c r="X370"/>
    </row>
    <row r="371" customHeight="1" spans="1:23">
      <c r="A371" s="3" t="s">
        <v>1120</v>
      </c>
      <c r="B371" s="4">
        <v>8395337.55</v>
      </c>
      <c r="C371" s="4">
        <v>7765760.2</v>
      </c>
      <c r="D371" s="4">
        <f>AVERAGE(O371:Q371)</f>
        <v>6.93333333333333</v>
      </c>
      <c r="E371" s="4">
        <f>R371</f>
        <v>0.7</v>
      </c>
      <c r="F371" s="4">
        <f>(C371-B371*(1-0.01*D371)*E371)/(B371*(1-E371))</f>
        <v>0.911806748719313</v>
      </c>
      <c r="G371" s="4">
        <f>100-100*F371</f>
        <v>8.81932512806868</v>
      </c>
      <c r="H371" s="4">
        <v>7764360.77</v>
      </c>
      <c r="I371" s="4">
        <f>100-100*H371/B371</f>
        <v>7.51580000496824</v>
      </c>
      <c r="K371" s="4">
        <v>7.2</v>
      </c>
      <c r="L371" s="7">
        <v>45050.4166666667</v>
      </c>
      <c r="M371" s="8">
        <v>156</v>
      </c>
      <c r="N371" s="13">
        <v>4</v>
      </c>
      <c r="O371" s="13">
        <v>10.5</v>
      </c>
      <c r="P371" s="13">
        <v>7.9</v>
      </c>
      <c r="Q371" s="13">
        <v>2.4</v>
      </c>
      <c r="R371" s="13">
        <v>0.7</v>
      </c>
      <c r="S371" s="61" t="s">
        <v>1121</v>
      </c>
      <c r="T371" s="13" t="str">
        <f>_xlfn.DISPIMG("ID_995273D54DAC4FB0A658266E8F0CD74B",1)</f>
        <v>=DISPIMG("ID_995273D54DAC4FB0A658266E8F0CD74B",1)</v>
      </c>
      <c r="U371" s="66" t="s">
        <v>828</v>
      </c>
      <c r="V371" s="82" t="s">
        <v>29</v>
      </c>
      <c r="W371" s="52" t="s">
        <v>1122</v>
      </c>
    </row>
    <row r="372" customHeight="1" spans="1:23">
      <c r="A372" s="117" t="s">
        <v>1123</v>
      </c>
      <c r="B372" s="4">
        <v>29257221.66</v>
      </c>
      <c r="C372" s="4">
        <v>27476712.13</v>
      </c>
      <c r="D372" s="4">
        <f>AVERAGE(O372:Q372)</f>
        <v>4.23333333333333</v>
      </c>
      <c r="E372" s="4">
        <f>R372</f>
        <v>0.5</v>
      </c>
      <c r="F372" s="4">
        <f>(C372-B372*(1-0.01*D372)*E372)/(B372*(1-E372))</f>
        <v>0.920619142512933</v>
      </c>
      <c r="G372" s="4">
        <f>100-100*F372</f>
        <v>7.93808574870674</v>
      </c>
      <c r="H372" s="4">
        <v>27481308.3</v>
      </c>
      <c r="I372" s="4">
        <f>100-100*H372/B372</f>
        <v>6.07000001790327</v>
      </c>
      <c r="K372" s="4">
        <v>7.7</v>
      </c>
      <c r="L372" s="7">
        <v>45050.4583333333</v>
      </c>
      <c r="M372" s="8">
        <v>167</v>
      </c>
      <c r="N372" s="13">
        <v>2</v>
      </c>
      <c r="O372" s="13">
        <v>0.7</v>
      </c>
      <c r="P372" s="13">
        <v>1.8</v>
      </c>
      <c r="Q372" s="13">
        <v>10.2</v>
      </c>
      <c r="R372" s="13">
        <v>0.5</v>
      </c>
      <c r="S372" s="61" t="s">
        <v>1124</v>
      </c>
      <c r="T372" s="13" t="str">
        <f>_xlfn.DISPIMG("ID_4DE79EEEAC6E4BB08EF88A1160DDB7BF",1)</f>
        <v>=DISPIMG("ID_4DE79EEEAC6E4BB08EF88A1160DDB7BF",1)</v>
      </c>
      <c r="U372" s="66" t="s">
        <v>927</v>
      </c>
      <c r="V372" s="82" t="s">
        <v>29</v>
      </c>
      <c r="W372" s="55" t="s">
        <v>1125</v>
      </c>
    </row>
    <row r="373" customHeight="1" spans="1:24">
      <c r="A373" s="3" t="s">
        <v>1126</v>
      </c>
      <c r="B373" s="4">
        <v>5292401.48</v>
      </c>
      <c r="D373" s="4">
        <v>99.6</v>
      </c>
      <c r="E373" s="4"/>
      <c r="F373" s="4"/>
      <c r="G373" s="4"/>
      <c r="H373" s="4">
        <v>4951561.92</v>
      </c>
      <c r="I373" s="4">
        <f>100-100*H373/B373</f>
        <v>6.44016825420434</v>
      </c>
      <c r="K373" s="4">
        <v>8.2</v>
      </c>
      <c r="L373" s="7">
        <v>45050.625</v>
      </c>
      <c r="M373" s="8">
        <v>562</v>
      </c>
      <c r="N373"/>
      <c r="O373"/>
      <c r="P373"/>
      <c r="Q373"/>
      <c r="R373"/>
      <c r="S373" t="s">
        <v>1127</v>
      </c>
      <c r="T373" t="str">
        <f>_xlfn.DISPIMG("ID_B45AC5B0931F41358AA01BD5585B5788",1)</f>
        <v>=DISPIMG("ID_B45AC5B0931F41358AA01BD5585B5788",1)</v>
      </c>
      <c r="U373" t="s">
        <v>119</v>
      </c>
      <c r="V373" s="5" t="s">
        <v>539</v>
      </c>
      <c r="W373" s="36" t="s">
        <v>1128</v>
      </c>
      <c r="X373"/>
    </row>
    <row r="374" customHeight="1" spans="1:24">
      <c r="A374" s="3" t="s">
        <v>1129</v>
      </c>
      <c r="B374" s="4">
        <v>11507948.38</v>
      </c>
      <c r="C374" s="4">
        <v>9188026.03</v>
      </c>
      <c r="D374" s="4">
        <v>0.2</v>
      </c>
      <c r="F374" s="4">
        <f>(H374/B374-D374)/(1-D374)</f>
        <v>0.883105350920943</v>
      </c>
      <c r="G374" s="4">
        <f>100-100*F374</f>
        <v>11.6894649079057</v>
      </c>
      <c r="H374" s="4">
        <v>10431774.31</v>
      </c>
      <c r="I374" s="4">
        <f>100-100*H374/B374</f>
        <v>9.35157192632455</v>
      </c>
      <c r="K374" s="4">
        <v>5.86</v>
      </c>
      <c r="L374" s="7">
        <v>45051.3541666667</v>
      </c>
      <c r="M374" s="8">
        <v>87</v>
      </c>
      <c r="N374"/>
      <c r="O374"/>
      <c r="P374"/>
      <c r="Q374"/>
      <c r="R374"/>
      <c r="S374" t="s">
        <v>1130</v>
      </c>
      <c r="T374" s="13" t="str">
        <f>_xlfn.DISPIMG("ID_5C1B5B8EA2164BF49185CA64500D4BE4",1)</f>
        <v>=DISPIMG("ID_5C1B5B8EA2164BF49185CA64500D4BE4",1)</v>
      </c>
      <c r="U374" s="13" t="s">
        <v>189</v>
      </c>
      <c r="V374" s="5" t="s">
        <v>581</v>
      </c>
      <c r="W374"/>
      <c r="X374"/>
    </row>
    <row r="375" customHeight="1" spans="1:24">
      <c r="A375" s="3" t="s">
        <v>1131</v>
      </c>
      <c r="B375" s="4">
        <v>9341707.37</v>
      </c>
      <c r="D375" s="4">
        <v>0.3</v>
      </c>
      <c r="F375" s="4">
        <f>(H375/B375-D375)/(1-D375)</f>
        <v>0.975241576973403</v>
      </c>
      <c r="G375" s="4">
        <f>100-100*F375</f>
        <v>2.47584230265973</v>
      </c>
      <c r="H375" s="4">
        <v>9179807.21</v>
      </c>
      <c r="I375" s="4">
        <f>100-100*H375/B375</f>
        <v>1.7330896118618</v>
      </c>
      <c r="K375" s="4">
        <v>4.52</v>
      </c>
      <c r="L375" s="7">
        <v>45051.375</v>
      </c>
      <c r="M375" s="8">
        <v>793</v>
      </c>
      <c r="N375"/>
      <c r="O375"/>
      <c r="P375"/>
      <c r="Q375"/>
      <c r="R375"/>
      <c r="S375" t="s">
        <v>1132</v>
      </c>
      <c r="T375" t="str">
        <f>_xlfn.DISPIMG("ID_4B3DF2AEEE564887924D22897D259763",1)</f>
        <v>=DISPIMG("ID_4B3DF2AEEE564887924D22897D259763",1)</v>
      </c>
      <c r="U375" s="13" t="s">
        <v>819</v>
      </c>
      <c r="V375" s="5" t="s">
        <v>581</v>
      </c>
      <c r="W375"/>
      <c r="X375"/>
    </row>
    <row r="376" customHeight="1" spans="1:23">
      <c r="A376" s="3" t="s">
        <v>1133</v>
      </c>
      <c r="B376" s="4">
        <v>4900212.61</v>
      </c>
      <c r="C376" s="4">
        <v>4657847.13</v>
      </c>
      <c r="D376" s="4">
        <f>AVERAGE(O376:Q376)</f>
        <v>4.53333333333333</v>
      </c>
      <c r="E376" s="4">
        <f>R376</f>
        <v>0.5</v>
      </c>
      <c r="F376" s="4">
        <f>(C376-B376*(1-0.01*D376)*E376)/(B376*(1-E376))</f>
        <v>0.946412939754737</v>
      </c>
      <c r="G376" s="4">
        <f>100-100*F376</f>
        <v>5.3587060245263</v>
      </c>
      <c r="H376" s="4">
        <v>4657098.13</v>
      </c>
      <c r="I376" s="4">
        <f>100-100*H376/B376</f>
        <v>4.96130473000028</v>
      </c>
      <c r="K376" s="4">
        <v>6.3</v>
      </c>
      <c r="L376" s="7">
        <v>45051.4375</v>
      </c>
      <c r="M376" s="8">
        <v>154</v>
      </c>
      <c r="N376" s="13">
        <v>2</v>
      </c>
      <c r="O376" s="13">
        <v>2.2</v>
      </c>
      <c r="P376" s="13">
        <v>3.4</v>
      </c>
      <c r="Q376" s="123">
        <v>8</v>
      </c>
      <c r="R376" s="13">
        <v>0.5</v>
      </c>
      <c r="S376" s="61" t="s">
        <v>1134</v>
      </c>
      <c r="T376" t="str">
        <f>_xlfn.DISPIMG("ID_39A08211ED6A4076AB89912F4CD96E32",1)</f>
        <v>=DISPIMG("ID_39A08211ED6A4076AB89912F4CD96E32",1)</v>
      </c>
      <c r="U376" s="66" t="s">
        <v>426</v>
      </c>
      <c r="V376" s="82" t="s">
        <v>29</v>
      </c>
      <c r="W376" s="52" t="s">
        <v>1135</v>
      </c>
    </row>
    <row r="377" customHeight="1" spans="1:23">
      <c r="A377" s="3" t="s">
        <v>1136</v>
      </c>
      <c r="B377" s="4">
        <v>11028944.24</v>
      </c>
      <c r="C377" s="4">
        <v>10182839.7</v>
      </c>
      <c r="D377" s="4">
        <f>AVERAGE(O377:Q377)</f>
        <v>10.2666666666667</v>
      </c>
      <c r="E377" s="4">
        <f>R377</f>
        <v>0.1</v>
      </c>
      <c r="F377" s="4">
        <f>(C377-B377*(1-0.01*D377)*E377)/(B377*(1-E377))</f>
        <v>0.926166596038906</v>
      </c>
      <c r="G377" s="4">
        <f>100-100*F377</f>
        <v>7.38334039610938</v>
      </c>
      <c r="H377" s="4">
        <v>10182239.68</v>
      </c>
      <c r="I377" s="4">
        <f>100-100*H377/B377</f>
        <v>7.67711343511154</v>
      </c>
      <c r="K377" s="4">
        <v>5</v>
      </c>
      <c r="L377" s="7">
        <v>45051.4583333333</v>
      </c>
      <c r="M377" s="8">
        <v>157</v>
      </c>
      <c r="N377" s="13">
        <v>2</v>
      </c>
      <c r="O377" s="13">
        <v>14.4</v>
      </c>
      <c r="P377" s="13">
        <v>10.8</v>
      </c>
      <c r="Q377" s="13">
        <v>5.6</v>
      </c>
      <c r="R377" s="13">
        <v>0.1</v>
      </c>
      <c r="S377" s="61" t="s">
        <v>1137</v>
      </c>
      <c r="T377" t="str">
        <f>_xlfn.DISPIMG("ID_8594350670894A83994259256103CCA3",1)</f>
        <v>=DISPIMG("ID_8594350670894A83994259256103CCA3",1)</v>
      </c>
      <c r="U377" s="66" t="s">
        <v>623</v>
      </c>
      <c r="V377" s="82" t="s">
        <v>29</v>
      </c>
      <c r="W377" s="52" t="s">
        <v>1138</v>
      </c>
    </row>
    <row r="378" customHeight="1" spans="1:23">
      <c r="A378" s="3" t="s">
        <v>1139</v>
      </c>
      <c r="B378" s="4">
        <v>5836250.6</v>
      </c>
      <c r="C378" s="4">
        <v>5398805.73</v>
      </c>
      <c r="D378" s="4">
        <f>AVERAGE(O378:Q378)</f>
        <v>7.56666666666667</v>
      </c>
      <c r="E378" s="4">
        <f>R378</f>
        <v>0.3</v>
      </c>
      <c r="F378" s="4">
        <f>(C378-B378*(1-0.01*D378)*E378)/(B378*(1-E378))</f>
        <v>0.925352764427217</v>
      </c>
      <c r="G378" s="4">
        <f>100-100*F378</f>
        <v>7.46472355727835</v>
      </c>
      <c r="H378" s="4">
        <v>5398531</v>
      </c>
      <c r="I378" s="4">
        <f>100-100*H378/B378</f>
        <v>7.50001379310203</v>
      </c>
      <c r="K378" s="4">
        <v>7.4</v>
      </c>
      <c r="L378" s="7">
        <v>45051.4583333333</v>
      </c>
      <c r="M378" s="8">
        <v>149</v>
      </c>
      <c r="N378" s="13">
        <v>1</v>
      </c>
      <c r="O378" s="13">
        <v>1.5</v>
      </c>
      <c r="P378" s="13">
        <v>11.3</v>
      </c>
      <c r="Q378" s="13">
        <v>9.9</v>
      </c>
      <c r="R378" s="13">
        <v>0.3</v>
      </c>
      <c r="S378" s="61" t="s">
        <v>1140</v>
      </c>
      <c r="T378" t="str">
        <f>_xlfn.DISPIMG("ID_8594350670894A83994259256103CCA3",1)</f>
        <v>=DISPIMG("ID_8594350670894A83994259256103CCA3",1)</v>
      </c>
      <c r="U378" s="66" t="s">
        <v>623</v>
      </c>
      <c r="V378" s="82" t="s">
        <v>29</v>
      </c>
      <c r="W378" s="52" t="s">
        <v>1141</v>
      </c>
    </row>
    <row r="379" customHeight="1" spans="1:24">
      <c r="A379" s="3" t="s">
        <v>1142</v>
      </c>
      <c r="B379" s="4">
        <v>9213580.43</v>
      </c>
      <c r="C379" s="4"/>
      <c r="D379" s="4">
        <v>100.8</v>
      </c>
      <c r="H379" s="4">
        <v>8638737.48</v>
      </c>
      <c r="I379" s="4">
        <f>100-100*H379/B379</f>
        <v>6.23908321382071</v>
      </c>
      <c r="K379" s="4">
        <v>6.86</v>
      </c>
      <c r="L379" s="7">
        <v>45054.3958333333</v>
      </c>
      <c r="M379" s="8">
        <v>896</v>
      </c>
      <c r="N379"/>
      <c r="O379"/>
      <c r="P379"/>
      <c r="Q379"/>
      <c r="R379"/>
      <c r="S379" t="s">
        <v>1143</v>
      </c>
      <c r="T379" t="str">
        <f>_xlfn.DISPIMG("ID_B45AC5B0931F41358AA01BD5585B5788",1)</f>
        <v>=DISPIMG("ID_B45AC5B0931F41358AA01BD5585B5788",1)</v>
      </c>
      <c r="U379" t="s">
        <v>119</v>
      </c>
      <c r="V379" s="5" t="s">
        <v>120</v>
      </c>
      <c r="W379" s="20"/>
      <c r="X379"/>
    </row>
    <row r="380" customHeight="1" spans="1:24">
      <c r="A380" s="3" t="s">
        <v>1144</v>
      </c>
      <c r="B380" s="4">
        <v>5995716.91</v>
      </c>
      <c r="C380" s="4"/>
      <c r="D380" s="4">
        <v>98.4</v>
      </c>
      <c r="H380" s="4">
        <v>5552586.55</v>
      </c>
      <c r="I380" s="4">
        <f>100-100*H380/B380</f>
        <v>7.39078189733945</v>
      </c>
      <c r="K380" s="4">
        <v>7.4</v>
      </c>
      <c r="L380" s="7">
        <v>45057.3541666667</v>
      </c>
      <c r="M380" s="8">
        <v>638</v>
      </c>
      <c r="N380"/>
      <c r="O380"/>
      <c r="P380"/>
      <c r="Q380"/>
      <c r="R380"/>
      <c r="S380" t="s">
        <v>1145</v>
      </c>
      <c r="T380" t="str">
        <f>_xlfn.DISPIMG("ID_B45AC5B0931F41358AA01BD5585B5788",1)</f>
        <v>=DISPIMG("ID_B45AC5B0931F41358AA01BD5585B5788",1)</v>
      </c>
      <c r="U380" t="s">
        <v>119</v>
      </c>
      <c r="V380" s="5" t="s">
        <v>464</v>
      </c>
      <c r="W380" s="20"/>
      <c r="X380"/>
    </row>
    <row r="381" customHeight="1" spans="1:22">
      <c r="A381" s="3" t="s">
        <v>1146</v>
      </c>
      <c r="B381" s="4">
        <v>5949898.66</v>
      </c>
      <c r="C381" s="4">
        <v>5586954.84</v>
      </c>
      <c r="D381" s="4">
        <f>AVERAGE(O381:Q381)</f>
        <v>6.1</v>
      </c>
      <c r="F381" s="4">
        <f>(C381-B381*(1-0.01*D381)*E381)/(B381*(1-E381))</f>
        <v>0.938999999707558</v>
      </c>
      <c r="G381" s="4">
        <f>100-100*F381</f>
        <v>6.1000000292442</v>
      </c>
      <c r="H381" s="4">
        <v>5585781.46</v>
      </c>
      <c r="I381" s="4">
        <f>100-100*H381/B381</f>
        <v>6.11972103739998</v>
      </c>
      <c r="K381" s="4">
        <v>6.2</v>
      </c>
      <c r="L381" s="7">
        <v>45057.4583333333</v>
      </c>
      <c r="M381" s="8">
        <v>31</v>
      </c>
      <c r="N381" s="112">
        <v>4</v>
      </c>
      <c r="O381" s="112">
        <v>7.3</v>
      </c>
      <c r="P381" s="112">
        <v>8.5</v>
      </c>
      <c r="Q381" s="112">
        <v>2.5</v>
      </c>
      <c r="R381" s="112"/>
      <c r="S381" s="61" t="s">
        <v>1147</v>
      </c>
      <c r="T381" t="str">
        <f>_xlfn.DISPIMG("ID_39A08211ED6A4076AB89912F4CD96E32",1)</f>
        <v>=DISPIMG("ID_39A08211ED6A4076AB89912F4CD96E32",1)</v>
      </c>
      <c r="U381" s="66" t="s">
        <v>426</v>
      </c>
      <c r="V381" s="86" t="s">
        <v>59</v>
      </c>
    </row>
    <row r="382" customHeight="1" spans="1:23">
      <c r="A382" s="3" t="s">
        <v>1148</v>
      </c>
      <c r="B382" s="4">
        <v>6232106.18</v>
      </c>
      <c r="C382" s="4">
        <v>5904990</v>
      </c>
      <c r="D382" s="4">
        <f>AVERAGE(O382:Q382)</f>
        <v>5.33333333333333</v>
      </c>
      <c r="E382" s="4">
        <f>R382</f>
        <v>0.3</v>
      </c>
      <c r="F382" s="4">
        <f>(C382-B382*(1-0.01*D382)*E382)/(B382*(1-E382))</f>
        <v>0.947873049988008</v>
      </c>
      <c r="G382" s="4">
        <f>100-100*F382</f>
        <v>5.21269500119918</v>
      </c>
      <c r="H382" s="4">
        <v>5905396.26</v>
      </c>
      <c r="I382" s="4">
        <f>100-100*H382/B382</f>
        <v>5.24236767737484</v>
      </c>
      <c r="K382" s="4">
        <v>5.2</v>
      </c>
      <c r="L382" s="7">
        <v>45058.375</v>
      </c>
      <c r="M382" s="8">
        <v>158</v>
      </c>
      <c r="N382" s="13">
        <v>4</v>
      </c>
      <c r="O382" s="13">
        <v>9.2</v>
      </c>
      <c r="P382" s="13">
        <v>6.2</v>
      </c>
      <c r="Q382" s="13">
        <v>0.6</v>
      </c>
      <c r="R382" s="13">
        <v>0.3</v>
      </c>
      <c r="S382" s="13" t="s">
        <v>1149</v>
      </c>
      <c r="T382" t="str">
        <f>_xlfn.DISPIMG("ID_39A08211ED6A4076AB89912F4CD96E32",1)</f>
        <v>=DISPIMG("ID_39A08211ED6A4076AB89912F4CD96E32",1)</v>
      </c>
      <c r="U382" s="66" t="s">
        <v>426</v>
      </c>
      <c r="V382" s="82" t="s">
        <v>29</v>
      </c>
      <c r="W382" s="52" t="s">
        <v>1135</v>
      </c>
    </row>
    <row r="383" customHeight="1" spans="1:23">
      <c r="A383" s="3" t="s">
        <v>1150</v>
      </c>
      <c r="B383" s="4">
        <v>8238508.08</v>
      </c>
      <c r="C383" s="4">
        <v>7811323.31</v>
      </c>
      <c r="D383" s="4">
        <f>AVERAGE(O383:Q383)</f>
        <v>3.73333333333333</v>
      </c>
      <c r="E383" s="4">
        <f>R383</f>
        <v>0.1</v>
      </c>
      <c r="F383" s="4">
        <f>(C383-B383*(1-0.01*D383)*E383)/(B383*(1-E383))</f>
        <v>0.946534592412648</v>
      </c>
      <c r="G383" s="4">
        <f>100-100*F383</f>
        <v>5.34654075873516</v>
      </c>
      <c r="H383" s="4">
        <v>7810188.04</v>
      </c>
      <c r="I383" s="4">
        <f>100-100*H383/B383</f>
        <v>5.19900005972926</v>
      </c>
      <c r="K383" s="4">
        <v>5.5</v>
      </c>
      <c r="L383" s="7">
        <v>45061.3958333333</v>
      </c>
      <c r="M383" s="8">
        <v>161</v>
      </c>
      <c r="N383" s="13">
        <v>4</v>
      </c>
      <c r="O383" s="13">
        <v>2.5</v>
      </c>
      <c r="P383" s="13">
        <v>1.4</v>
      </c>
      <c r="Q383" s="13">
        <v>7.3</v>
      </c>
      <c r="R383" s="13">
        <v>0.1</v>
      </c>
      <c r="S383" s="13" t="s">
        <v>1151</v>
      </c>
      <c r="T383" t="str">
        <f>_xlfn.DISPIMG("ID_39A08211ED6A4076AB89912F4CD96E32",1)</f>
        <v>=DISPIMG("ID_39A08211ED6A4076AB89912F4CD96E32",1)</v>
      </c>
      <c r="U383" s="66" t="s">
        <v>426</v>
      </c>
      <c r="V383" s="82" t="s">
        <v>29</v>
      </c>
      <c r="W383" s="52" t="s">
        <v>1152</v>
      </c>
    </row>
    <row r="384" customHeight="1" spans="1:22">
      <c r="A384" s="3" t="s">
        <v>1153</v>
      </c>
      <c r="B384" s="4">
        <v>5225436.38</v>
      </c>
      <c r="C384" s="4">
        <v>5035753.04</v>
      </c>
      <c r="D384" s="4">
        <f>AVERAGE(O384:Q384)</f>
        <v>3.63333333333333</v>
      </c>
      <c r="F384" s="4">
        <f>(C384-B384*(1-0.01*D384)*E384)/(B384*(1-E384))</f>
        <v>0.963700000113675</v>
      </c>
      <c r="G384" s="4">
        <f>100-100*F384</f>
        <v>3.62999998863252</v>
      </c>
      <c r="H384" s="4">
        <v>5017986.55</v>
      </c>
      <c r="I384" s="4">
        <f>100-100*H384/B384</f>
        <v>3.97000010934971</v>
      </c>
      <c r="K384" s="4">
        <v>4.7</v>
      </c>
      <c r="L384" s="7">
        <v>45061.4583333333</v>
      </c>
      <c r="M384" s="8">
        <v>14</v>
      </c>
      <c r="N384" s="112">
        <v>2</v>
      </c>
      <c r="O384" s="112">
        <v>2.2</v>
      </c>
      <c r="P384" s="112">
        <v>0.7</v>
      </c>
      <c r="Q384" s="112">
        <v>8</v>
      </c>
      <c r="R384" s="112"/>
      <c r="S384" s="61" t="s">
        <v>1154</v>
      </c>
      <c r="T384" t="str">
        <f>_xlfn.DISPIMG("ID_39A08211ED6A4076AB89912F4CD96E32",1)</f>
        <v>=DISPIMG("ID_39A08211ED6A4076AB89912F4CD96E32",1)</v>
      </c>
      <c r="U384" s="66" t="s">
        <v>426</v>
      </c>
      <c r="V384" s="13" t="s">
        <v>1155</v>
      </c>
    </row>
    <row r="385" customHeight="1" spans="1:23">
      <c r="A385" s="3" t="s">
        <v>1156</v>
      </c>
      <c r="B385" s="4">
        <v>14406571.66</v>
      </c>
      <c r="C385" s="4">
        <v>13344009.56</v>
      </c>
      <c r="D385" s="4">
        <f>AVERAGE(O385:Q385)</f>
        <v>7.3</v>
      </c>
      <c r="E385" s="4">
        <f>R385</f>
        <v>0.3</v>
      </c>
      <c r="F385" s="4">
        <f>(C385-B385*(1-0.01*D385)*E385)/(B385*(1-E385))</f>
        <v>0.925920892385897</v>
      </c>
      <c r="G385" s="4">
        <f>100-100*F385</f>
        <v>7.40791076141029</v>
      </c>
      <c r="H385" s="4">
        <v>13344298.32</v>
      </c>
      <c r="I385" s="4">
        <f>100-100*H385/B385</f>
        <v>7.37353316993115</v>
      </c>
      <c r="K385" s="4">
        <v>6.66</v>
      </c>
      <c r="L385" s="7">
        <v>45062.4583333333</v>
      </c>
      <c r="M385" s="8">
        <v>174</v>
      </c>
      <c r="N385" s="13">
        <v>4</v>
      </c>
      <c r="O385" s="13">
        <v>1.1</v>
      </c>
      <c r="P385" s="13">
        <v>9.3</v>
      </c>
      <c r="Q385" s="13">
        <v>11.5</v>
      </c>
      <c r="R385" s="13">
        <v>0.3</v>
      </c>
      <c r="S385" s="13" t="s">
        <v>1157</v>
      </c>
      <c r="T385" t="str">
        <f>_xlfn.DISPIMG("ID_8594350670894A83994259256103CCA3",1)</f>
        <v>=DISPIMG("ID_8594350670894A83994259256103CCA3",1)</v>
      </c>
      <c r="U385" s="66" t="s">
        <v>623</v>
      </c>
      <c r="V385" s="82" t="s">
        <v>29</v>
      </c>
      <c r="W385" s="52" t="s">
        <v>1158</v>
      </c>
    </row>
    <row r="386" customHeight="1" spans="1:24">
      <c r="A386" s="3" t="s">
        <v>1159</v>
      </c>
      <c r="B386" s="4">
        <v>14567330.1</v>
      </c>
      <c r="C386" s="4">
        <v>13502149.75</v>
      </c>
      <c r="D386" s="4">
        <v>0.1</v>
      </c>
      <c r="F386" s="4">
        <f>(H386/B386-D386)/(1-D386)</f>
        <v>0.916899999861105</v>
      </c>
      <c r="G386" s="4">
        <f>100-100*F386</f>
        <v>8.31000001388952</v>
      </c>
      <c r="H386" s="4">
        <v>13477839.48</v>
      </c>
      <c r="I386" s="4">
        <f>100-100*H386/B386</f>
        <v>7.47900001250058</v>
      </c>
      <c r="K386" s="4">
        <v>5.8</v>
      </c>
      <c r="L386" s="7">
        <v>45063.4583333333</v>
      </c>
      <c r="M386" s="8">
        <v>443</v>
      </c>
      <c r="N386"/>
      <c r="O386"/>
      <c r="P386"/>
      <c r="Q386"/>
      <c r="R386"/>
      <c r="S386" t="s">
        <v>1160</v>
      </c>
      <c r="T386" t="str">
        <f>_xlfn.DISPIMG("ID_D8F0F25F5E9C4095BF1F2A46256D89E5",1)</f>
        <v>=DISPIMG("ID_D8F0F25F5E9C4095BF1F2A46256D89E5",1)</v>
      </c>
      <c r="U386" s="13" t="s">
        <v>978</v>
      </c>
      <c r="V386" s="5" t="s">
        <v>581</v>
      </c>
      <c r="W386" s="5" t="s">
        <v>1161</v>
      </c>
      <c r="X386"/>
    </row>
    <row r="387" customHeight="1" spans="1:24">
      <c r="A387" s="3" t="s">
        <v>1162</v>
      </c>
      <c r="B387" s="4">
        <v>19756166.39</v>
      </c>
      <c r="C387" s="4">
        <v>18297306.73</v>
      </c>
      <c r="D387" s="4">
        <v>0.3</v>
      </c>
      <c r="F387" s="4">
        <f>(H387/B387-D387)/(1-D387)</f>
        <v>0.891714285161981</v>
      </c>
      <c r="G387" s="4">
        <f>100-100*F387</f>
        <v>10.8285714838019</v>
      </c>
      <c r="H387" s="4">
        <v>18258648.97</v>
      </c>
      <c r="I387" s="4">
        <f>100-100*H387/B387</f>
        <v>7.58000003866135</v>
      </c>
      <c r="K387" s="4">
        <v>6.3</v>
      </c>
      <c r="L387" s="7">
        <v>45063.4583333333</v>
      </c>
      <c r="M387" s="8">
        <v>437</v>
      </c>
      <c r="N387"/>
      <c r="O387"/>
      <c r="P387"/>
      <c r="Q387"/>
      <c r="R387"/>
      <c r="S387" t="s">
        <v>1163</v>
      </c>
      <c r="T387" t="str">
        <f>_xlfn.DISPIMG("ID_D8F0F25F5E9C4095BF1F2A46256D89E5",1)</f>
        <v>=DISPIMG("ID_D8F0F25F5E9C4095BF1F2A46256D89E5",1)</v>
      </c>
      <c r="U387" s="13" t="s">
        <v>978</v>
      </c>
      <c r="V387" s="5" t="s">
        <v>581</v>
      </c>
      <c r="W387" s="5" t="s">
        <v>1161</v>
      </c>
      <c r="X387"/>
    </row>
    <row r="388" customHeight="1" spans="1:23">
      <c r="A388" s="3" t="s">
        <v>1164</v>
      </c>
      <c r="B388" s="4">
        <v>5397409.64</v>
      </c>
      <c r="C388" s="4">
        <v>5122732.41</v>
      </c>
      <c r="D388" s="4">
        <f>AVERAGE(O388:Q388)</f>
        <v>5.03333333333333</v>
      </c>
      <c r="E388" s="4">
        <f>R388</f>
        <v>0.3</v>
      </c>
      <c r="F388" s="4">
        <f>(C388-B388*(1-0.01*D388)*E388)/(B388*(1-E388))</f>
        <v>0.948870620400578</v>
      </c>
      <c r="G388" s="4">
        <f>100-100*F388</f>
        <v>5.11293795994224</v>
      </c>
      <c r="H388" s="4">
        <v>5122363.59</v>
      </c>
      <c r="I388" s="4">
        <f>100-100*H388/B388</f>
        <v>5.09588984985767</v>
      </c>
      <c r="K388" s="4">
        <v>6.34</v>
      </c>
      <c r="L388" s="7">
        <v>45064.375</v>
      </c>
      <c r="M388" s="8">
        <v>162</v>
      </c>
      <c r="N388" s="13">
        <v>1</v>
      </c>
      <c r="O388" s="13">
        <v>5.1</v>
      </c>
      <c r="P388" s="13">
        <v>9.5</v>
      </c>
      <c r="Q388" s="13">
        <v>0.5</v>
      </c>
      <c r="R388" s="13">
        <v>0.3</v>
      </c>
      <c r="S388" s="13" t="s">
        <v>1165</v>
      </c>
      <c r="T388" t="str">
        <f>_xlfn.DISPIMG("ID_39A08211ED6A4076AB89912F4CD96E32",1)</f>
        <v>=DISPIMG("ID_39A08211ED6A4076AB89912F4CD96E32",1)</v>
      </c>
      <c r="U388" s="66" t="s">
        <v>426</v>
      </c>
      <c r="V388" s="82" t="s">
        <v>29</v>
      </c>
      <c r="W388" s="52" t="s">
        <v>1166</v>
      </c>
    </row>
    <row r="389" customHeight="1" spans="1:23">
      <c r="A389" s="3" t="s">
        <v>1167</v>
      </c>
      <c r="B389" s="4">
        <v>14934174.95</v>
      </c>
      <c r="C389" s="4">
        <v>14323002.05</v>
      </c>
      <c r="D389" s="4">
        <f>AVERAGE(O389:Q389)</f>
        <v>3.96666666666667</v>
      </c>
      <c r="E389" s="4">
        <f>R389</f>
        <v>0.9</v>
      </c>
      <c r="F389" s="4">
        <f>(C389-B389*(1-0.01*D389)*E389)/(B389*(1-E389))</f>
        <v>0.947755497343361</v>
      </c>
      <c r="G389" s="4">
        <f>100-100*F389</f>
        <v>5.22445026566389</v>
      </c>
      <c r="H389" s="4">
        <v>14323683.57</v>
      </c>
      <c r="I389" s="4">
        <f>100-100*H389/B389</f>
        <v>4.0878815337569</v>
      </c>
      <c r="K389" s="4">
        <v>5.2</v>
      </c>
      <c r="L389" s="7">
        <v>45064.3958333333</v>
      </c>
      <c r="M389" s="8">
        <v>168</v>
      </c>
      <c r="N389" s="13">
        <v>4</v>
      </c>
      <c r="O389" s="13">
        <v>2.5</v>
      </c>
      <c r="P389" s="13">
        <v>6.2</v>
      </c>
      <c r="Q389" s="13">
        <v>3.2</v>
      </c>
      <c r="R389" s="13">
        <v>0.9</v>
      </c>
      <c r="S389" s="61" t="s">
        <v>1168</v>
      </c>
      <c r="T389" t="str">
        <f>_xlfn.DISPIMG("ID_39A08211ED6A4076AB89912F4CD96E32",1)</f>
        <v>=DISPIMG("ID_39A08211ED6A4076AB89912F4CD96E32",1)</v>
      </c>
      <c r="U389" s="66" t="s">
        <v>426</v>
      </c>
      <c r="V389" s="82" t="s">
        <v>29</v>
      </c>
      <c r="W389" s="52" t="s">
        <v>1135</v>
      </c>
    </row>
    <row r="390" customHeight="1" spans="1:23">
      <c r="A390" s="3" t="s">
        <v>1169</v>
      </c>
      <c r="B390" s="4">
        <v>16944612.97</v>
      </c>
      <c r="C390" s="4">
        <v>16204517.79</v>
      </c>
      <c r="D390" s="4">
        <f>AVERAGE(O390:Q390)</f>
        <v>4</v>
      </c>
      <c r="E390" s="4">
        <f>R390</f>
        <v>0.7</v>
      </c>
      <c r="F390" s="4">
        <f>(C390-B390*(1-0.01*D390)*E390)/(B390*(1-E390))</f>
        <v>0.947742286922237</v>
      </c>
      <c r="G390" s="4">
        <f>100-100*F390</f>
        <v>5.22577130777628</v>
      </c>
      <c r="H390" s="4">
        <v>16202777.8</v>
      </c>
      <c r="I390" s="4">
        <f>100-100*H390/B390</f>
        <v>4.37800008364546</v>
      </c>
      <c r="K390" s="4">
        <v>7.6</v>
      </c>
      <c r="L390" s="7">
        <v>45064.4166666667</v>
      </c>
      <c r="M390" s="8">
        <v>168</v>
      </c>
      <c r="N390" s="13">
        <v>4</v>
      </c>
      <c r="O390" s="13">
        <v>4.4</v>
      </c>
      <c r="P390" s="13">
        <v>6.2</v>
      </c>
      <c r="Q390" s="13">
        <v>1.4</v>
      </c>
      <c r="R390" s="13">
        <v>0.7</v>
      </c>
      <c r="S390" s="13" t="s">
        <v>1170</v>
      </c>
      <c r="T390" t="str">
        <f>_xlfn.DISPIMG("ID_39A08211ED6A4076AB89912F4CD96E32",1)</f>
        <v>=DISPIMG("ID_39A08211ED6A4076AB89912F4CD96E32",1)</v>
      </c>
      <c r="U390" s="66" t="s">
        <v>426</v>
      </c>
      <c r="V390" s="82" t="s">
        <v>29</v>
      </c>
      <c r="W390" s="52" t="s">
        <v>1171</v>
      </c>
    </row>
    <row r="391" customHeight="1" spans="1:24">
      <c r="A391" s="117" t="s">
        <v>1172</v>
      </c>
      <c r="B391" s="4">
        <v>12035582.68</v>
      </c>
      <c r="C391" s="4">
        <v>11722832.11</v>
      </c>
      <c r="D391" s="4">
        <v>0.3</v>
      </c>
      <c r="H391" s="4">
        <v>11718914.46</v>
      </c>
      <c r="I391" s="4">
        <f>100-100*H391/B391</f>
        <v>2.63110003411983</v>
      </c>
      <c r="K391" s="4">
        <v>7.6</v>
      </c>
      <c r="L391" s="7">
        <v>45065.3958333333</v>
      </c>
      <c r="M391" s="8">
        <v>118</v>
      </c>
      <c r="N391"/>
      <c r="O391"/>
      <c r="P391"/>
      <c r="Q391"/>
      <c r="R391"/>
      <c r="S391" t="s">
        <v>1173</v>
      </c>
      <c r="T391" t="str">
        <f>_xlfn.DISPIMG("ID_CE8A86EF0C0C4322ABF13441A2BBB1D7",1)</f>
        <v>=DISPIMG("ID_CE8A86EF0C0C4322ABF13441A2BBB1D7",1)</v>
      </c>
      <c r="U391" s="13" t="s">
        <v>836</v>
      </c>
      <c r="V391" s="5" t="s">
        <v>955</v>
      </c>
      <c r="W391"/>
      <c r="X391"/>
    </row>
    <row r="392" customHeight="1" spans="1:22">
      <c r="A392" s="3" t="s">
        <v>1174</v>
      </c>
      <c r="B392" s="4">
        <v>6161607.38</v>
      </c>
      <c r="C392" s="4">
        <v>5856932.11</v>
      </c>
      <c r="D392" s="4"/>
      <c r="F392" s="4">
        <f>(C392-B392*(1-0.01*D392)*E392)/(B392*(1-E392))</f>
        <v>0.950552631608929</v>
      </c>
      <c r="G392" s="4">
        <f>100-100*F392</f>
        <v>4.94473683910707</v>
      </c>
      <c r="H392" s="4">
        <v>5855987.96</v>
      </c>
      <c r="I392" s="4">
        <f>100-100*H392/B392</f>
        <v>4.9600599511097</v>
      </c>
      <c r="K392" s="4">
        <v>10</v>
      </c>
      <c r="L392" s="7">
        <v>45065.3958333333</v>
      </c>
      <c r="M392" s="8">
        <v>104</v>
      </c>
      <c r="N392" s="112">
        <v>4</v>
      </c>
      <c r="O392" s="112">
        <v>1.4</v>
      </c>
      <c r="P392" s="112">
        <v>3.2</v>
      </c>
      <c r="Q392" s="112">
        <v>8.5</v>
      </c>
      <c r="R392" s="112">
        <v>0.1</v>
      </c>
      <c r="S392" s="61" t="s">
        <v>1175</v>
      </c>
      <c r="T392" t="str">
        <f>_xlfn.DISPIMG("ID_39A08211ED6A4076AB89912F4CD96E32",1)</f>
        <v>=DISPIMG("ID_39A08211ED6A4076AB89912F4CD96E32",1)</v>
      </c>
      <c r="U392" s="66" t="s">
        <v>426</v>
      </c>
      <c r="V392" s="134" t="s">
        <v>506</v>
      </c>
    </row>
    <row r="393" customHeight="1" spans="1:24">
      <c r="A393" s="3" t="s">
        <v>1176</v>
      </c>
      <c r="B393" s="4">
        <v>19511896.4</v>
      </c>
      <c r="C393" s="4"/>
      <c r="D393" s="4">
        <f>AVERAGE(O393:Q393)</f>
        <v>5.2</v>
      </c>
      <c r="E393" s="4">
        <f>R393</f>
        <v>0.9</v>
      </c>
      <c r="H393" s="4">
        <v>18469570.89</v>
      </c>
      <c r="I393" s="4">
        <f>100-100*H393/B393</f>
        <v>5.34200002209933</v>
      </c>
      <c r="K393" s="4">
        <v>7.3</v>
      </c>
      <c r="L393" s="7">
        <v>45071.375</v>
      </c>
      <c r="M393" s="8">
        <v>174</v>
      </c>
      <c r="N393">
        <v>1</v>
      </c>
      <c r="O393">
        <v>4.2</v>
      </c>
      <c r="P393">
        <v>9.9</v>
      </c>
      <c r="Q393">
        <v>1.5</v>
      </c>
      <c r="R393">
        <v>0.9</v>
      </c>
      <c r="S393" t="s">
        <v>1177</v>
      </c>
      <c r="T393" t="str">
        <f>_xlfn.DISPIMG("ID_8594350670894A83994259256103CCA3",1)</f>
        <v>=DISPIMG("ID_8594350670894A83994259256103CCA3",1)</v>
      </c>
      <c r="U393" s="120" t="s">
        <v>623</v>
      </c>
      <c r="V393" s="82" t="s">
        <v>29</v>
      </c>
      <c r="W393" s="5" t="s">
        <v>1178</v>
      </c>
      <c r="X393"/>
    </row>
    <row r="394" customHeight="1" spans="1:24">
      <c r="A394" s="3" t="s">
        <v>1179</v>
      </c>
      <c r="B394" s="4">
        <v>27290687.62</v>
      </c>
      <c r="C394" s="4"/>
      <c r="D394" s="4">
        <v>0.4</v>
      </c>
      <c r="F394" s="4">
        <f>(H394/B394-D394)/(1-D394)</f>
        <v>0.971841071673713</v>
      </c>
      <c r="G394" s="4">
        <f>100-100*F394</f>
        <v>2.81589283262869</v>
      </c>
      <c r="H394" s="4">
        <v>26829601.71</v>
      </c>
      <c r="I394" s="4">
        <f>100-100*H394/B394</f>
        <v>1.68953569957722</v>
      </c>
      <c r="K394" s="4">
        <v>6.5</v>
      </c>
      <c r="L394" s="7">
        <v>45071.375</v>
      </c>
      <c r="M394" s="8">
        <v>26</v>
      </c>
      <c r="N394"/>
      <c r="O394"/>
      <c r="P394"/>
      <c r="Q394"/>
      <c r="R394"/>
      <c r="S394" t="s">
        <v>1180</v>
      </c>
      <c r="T394" t="str">
        <f>_xlfn.DISPIMG("ID_D707B0B32DEF47918A05A95B928615A0",1)</f>
        <v>=DISPIMG("ID_D707B0B32DEF47918A05A95B928615A0",1)</v>
      </c>
      <c r="U394" s="13" t="s">
        <v>1181</v>
      </c>
      <c r="V394" s="5" t="s">
        <v>581</v>
      </c>
      <c r="W394"/>
      <c r="X394"/>
    </row>
    <row r="395" customHeight="1" spans="1:23">
      <c r="A395" s="3" t="s">
        <v>1182</v>
      </c>
      <c r="B395" s="4">
        <v>8838126.24</v>
      </c>
      <c r="C395" s="4">
        <v>7884453.61</v>
      </c>
      <c r="D395" s="4">
        <f>AVERAGE(O395:Q395)</f>
        <v>11.4333333333333</v>
      </c>
      <c r="E395" s="4">
        <f>R395</f>
        <v>0.7</v>
      </c>
      <c r="F395" s="4">
        <f>(C395-B395*(1-0.01*D395)*E395)/(B395*(1-E395))</f>
        <v>0.907096474259005</v>
      </c>
      <c r="G395" s="4">
        <f>100-100*F395</f>
        <v>9.29035257409946</v>
      </c>
      <c r="H395" s="4">
        <v>7879628.91</v>
      </c>
      <c r="I395" s="4">
        <f>100-100*H395/B395</f>
        <v>10.8450287308863</v>
      </c>
      <c r="K395" s="4">
        <v>8.66</v>
      </c>
      <c r="L395" s="7">
        <v>45071.3958333333</v>
      </c>
      <c r="M395" s="8">
        <v>168</v>
      </c>
      <c r="N395" s="13">
        <v>2</v>
      </c>
      <c r="O395" s="13">
        <v>13.7</v>
      </c>
      <c r="P395" s="13">
        <v>7.8</v>
      </c>
      <c r="Q395" s="13">
        <v>12.8</v>
      </c>
      <c r="R395" s="13">
        <v>0.7</v>
      </c>
      <c r="S395" s="13" t="s">
        <v>1183</v>
      </c>
      <c r="T395" s="13" t="str">
        <f>_xlfn.DISPIMG("ID_995273D54DAC4FB0A658266E8F0CD74B",1)</f>
        <v>=DISPIMG("ID_995273D54DAC4FB0A658266E8F0CD74B",1)</v>
      </c>
      <c r="U395" s="66" t="s">
        <v>828</v>
      </c>
      <c r="V395" s="82" t="s">
        <v>29</v>
      </c>
      <c r="W395" s="52" t="s">
        <v>1184</v>
      </c>
    </row>
    <row r="396" customHeight="1" spans="1:24">
      <c r="A396" s="3" t="s">
        <v>1185</v>
      </c>
      <c r="B396" s="4">
        <v>9244448.27</v>
      </c>
      <c r="C396" s="4">
        <v>9135543.68</v>
      </c>
      <c r="D396" s="4">
        <v>0.3</v>
      </c>
      <c r="E396" s="4"/>
      <c r="F396" s="4">
        <f>(H396/B396-D396)/(1-D396)</f>
        <v>0.98298401425313</v>
      </c>
      <c r="G396" s="4">
        <f>100-100*F396</f>
        <v>1.701598574687</v>
      </c>
      <c r="H396" s="4">
        <v>9134335.89</v>
      </c>
      <c r="I396" s="4">
        <f>100-100*H396/B396</f>
        <v>1.19111900228091</v>
      </c>
      <c r="K396" s="4">
        <v>1.6</v>
      </c>
      <c r="L396" s="7">
        <v>45077.3958333333</v>
      </c>
      <c r="M396" s="8">
        <v>984</v>
      </c>
      <c r="N396"/>
      <c r="O396"/>
      <c r="P396"/>
      <c r="Q396"/>
      <c r="R396"/>
      <c r="S396" t="s">
        <v>1186</v>
      </c>
      <c r="T396" t="str">
        <f>_xlfn.DISPIMG("ID_FFF8C7284D774ED28F329725866D2CC2",1)</f>
        <v>=DISPIMG("ID_FFF8C7284D774ED28F329725866D2CC2",1)</v>
      </c>
      <c r="U396" s="13" t="s">
        <v>1187</v>
      </c>
      <c r="V396" s="5" t="s">
        <v>581</v>
      </c>
      <c r="W396"/>
      <c r="X396"/>
    </row>
    <row r="397" customHeight="1" spans="1:24">
      <c r="A397" s="3" t="s">
        <v>1188</v>
      </c>
      <c r="B397" s="4">
        <v>9538437.8</v>
      </c>
      <c r="C397" s="4">
        <v>9426619.48</v>
      </c>
      <c r="D397" s="4">
        <v>0.3</v>
      </c>
      <c r="F397" s="4">
        <f>(H397/B397-D397)/(1-D397)</f>
        <v>0.98309999987629</v>
      </c>
      <c r="G397" s="4">
        <f>100-100*F397</f>
        <v>1.690000012371</v>
      </c>
      <c r="H397" s="4">
        <v>9425598.08</v>
      </c>
      <c r="I397" s="4">
        <f>100-100*H397/B397</f>
        <v>1.1830000086597</v>
      </c>
      <c r="K397" s="4">
        <v>2.56</v>
      </c>
      <c r="L397" s="7">
        <v>45077.3958333333</v>
      </c>
      <c r="M397" s="8">
        <v>981</v>
      </c>
      <c r="N397"/>
      <c r="O397"/>
      <c r="P397"/>
      <c r="Q397"/>
      <c r="R397"/>
      <c r="S397" t="s">
        <v>1189</v>
      </c>
      <c r="T397" t="str">
        <f>_xlfn.DISPIMG("ID_FFF8C7284D774ED28F329725866D2CC2",1)</f>
        <v>=DISPIMG("ID_FFF8C7284D774ED28F329725866D2CC2",1)</v>
      </c>
      <c r="U397" s="13" t="s">
        <v>1187</v>
      </c>
      <c r="V397" s="5" t="s">
        <v>581</v>
      </c>
      <c r="W397"/>
      <c r="X397"/>
    </row>
    <row r="398" customHeight="1" spans="1:24">
      <c r="A398" s="3" t="s">
        <v>1190</v>
      </c>
      <c r="B398" s="4">
        <v>9788937.86</v>
      </c>
      <c r="D398" s="4">
        <v>0.3</v>
      </c>
      <c r="F398" s="4">
        <f>(H398/B398-D398)/(1-D398)</f>
        <v>0.981463571895926</v>
      </c>
      <c r="G398" s="4">
        <f>100-100*F398</f>
        <v>1.85364281040742</v>
      </c>
      <c r="H398" s="4">
        <v>9661921.5</v>
      </c>
      <c r="I398" s="4">
        <f>100-100*H398/B398</f>
        <v>1.29754996728521</v>
      </c>
      <c r="K398" s="4">
        <v>1.2</v>
      </c>
      <c r="L398" s="7">
        <v>45077.3958333333</v>
      </c>
      <c r="M398" s="8">
        <v>979</v>
      </c>
      <c r="N398"/>
      <c r="O398"/>
      <c r="P398"/>
      <c r="Q398"/>
      <c r="R398"/>
      <c r="S398" t="s">
        <v>1191</v>
      </c>
      <c r="T398" t="str">
        <f>_xlfn.DISPIMG("ID_FFF8C7284D774ED28F329725866D2CC2",1)</f>
        <v>=DISPIMG("ID_FFF8C7284D774ED28F329725866D2CC2",1)</v>
      </c>
      <c r="U398" s="13" t="s">
        <v>1187</v>
      </c>
      <c r="V398" s="5" t="s">
        <v>581</v>
      </c>
      <c r="W398"/>
      <c r="X398"/>
    </row>
    <row r="399" customHeight="1" spans="1:24">
      <c r="A399" s="3" t="s">
        <v>1192</v>
      </c>
      <c r="B399" s="4">
        <v>9887587.54</v>
      </c>
      <c r="C399" s="4">
        <v>9762793.71</v>
      </c>
      <c r="D399" s="4">
        <v>0.3</v>
      </c>
      <c r="F399" s="4">
        <f>(H399/B399-D399)/(1-D399)</f>
        <v>0.981774429015935</v>
      </c>
      <c r="G399" s="4">
        <f>100-100*F399</f>
        <v>1.82255709840651</v>
      </c>
      <c r="H399" s="4">
        <v>9761442.69</v>
      </c>
      <c r="I399" s="4">
        <f>100-100*H399/B399</f>
        <v>1.27578996888455</v>
      </c>
      <c r="K399" s="4">
        <v>1.3</v>
      </c>
      <c r="L399" s="7">
        <v>45077.3958333333</v>
      </c>
      <c r="M399" s="8">
        <v>972</v>
      </c>
      <c r="N399"/>
      <c r="O399"/>
      <c r="P399"/>
      <c r="Q399"/>
      <c r="R399"/>
      <c r="S399" t="s">
        <v>1193</v>
      </c>
      <c r="T399" t="str">
        <f>_xlfn.DISPIMG("ID_FFF8C7284D774ED28F329725866D2CC2",1)</f>
        <v>=DISPIMG("ID_FFF8C7284D774ED28F329725866D2CC2",1)</v>
      </c>
      <c r="U399" s="13" t="s">
        <v>1187</v>
      </c>
      <c r="V399" s="5" t="s">
        <v>581</v>
      </c>
      <c r="W399"/>
      <c r="X399"/>
    </row>
    <row r="400" customHeight="1" spans="1:22">
      <c r="A400" s="3" t="s">
        <v>1194</v>
      </c>
      <c r="B400" s="4">
        <v>10757966.94</v>
      </c>
      <c r="C400" s="4">
        <v>10257587.62</v>
      </c>
      <c r="D400" s="4">
        <f>AVERAGE(O400:Q400)</f>
        <v>3.66666666666667</v>
      </c>
      <c r="E400" s="4">
        <v>0.3</v>
      </c>
      <c r="F400" s="4">
        <f>(C400-B400*(1-0.01*D400)*E400)/(B400*(1-E400))</f>
        <v>0.949267939114897</v>
      </c>
      <c r="G400" s="4">
        <f>100-100*F400</f>
        <v>5.07320608851026</v>
      </c>
      <c r="H400" s="4">
        <v>10259399.72</v>
      </c>
      <c r="I400" s="4">
        <f>100-100*H400/B400</f>
        <v>4.63440000123293</v>
      </c>
      <c r="K400" s="4">
        <v>5</v>
      </c>
      <c r="L400" s="7">
        <v>45078.375</v>
      </c>
      <c r="M400" s="8">
        <v>143</v>
      </c>
      <c r="N400" s="112">
        <v>4</v>
      </c>
      <c r="O400" s="112">
        <v>3.2</v>
      </c>
      <c r="P400" s="112">
        <v>5.3</v>
      </c>
      <c r="Q400" s="112">
        <v>2.5</v>
      </c>
      <c r="R400" s="112">
        <v>0.3</v>
      </c>
      <c r="S400" s="61" t="s">
        <v>1195</v>
      </c>
      <c r="T400" t="str">
        <f>_xlfn.DISPIMG("ID_39A08211ED6A4076AB89912F4CD96E32",1)</f>
        <v>=DISPIMG("ID_39A08211ED6A4076AB89912F4CD96E32",1)</v>
      </c>
      <c r="U400" s="66" t="s">
        <v>426</v>
      </c>
      <c r="V400" s="13" t="s">
        <v>1196</v>
      </c>
    </row>
    <row r="401" customHeight="1" spans="1:24">
      <c r="A401" s="3" t="s">
        <v>1197</v>
      </c>
      <c r="B401" s="4">
        <v>17803708.16</v>
      </c>
      <c r="D401" s="4">
        <v>0.3</v>
      </c>
      <c r="F401" s="4">
        <f>(H401/B401-D401)/(1-D401)</f>
        <v>0.970467178868235</v>
      </c>
      <c r="G401" s="4">
        <f>100-100*F401</f>
        <v>2.95328211317651</v>
      </c>
      <c r="H401" s="4">
        <v>17435652.55</v>
      </c>
      <c r="I401" s="4">
        <f>100-100*H401/B401</f>
        <v>2.06729747922357</v>
      </c>
      <c r="K401" s="4">
        <v>3.68</v>
      </c>
      <c r="L401" s="7">
        <v>45079.375</v>
      </c>
      <c r="M401" s="8">
        <v>287</v>
      </c>
      <c r="N401"/>
      <c r="O401"/>
      <c r="P401"/>
      <c r="Q401"/>
      <c r="R401"/>
      <c r="S401" t="s">
        <v>1198</v>
      </c>
      <c r="T401" t="str">
        <f>_xlfn.DISPIMG("ID_4B3DF2AEEE564887924D22897D259763",1)</f>
        <v>=DISPIMG("ID_4B3DF2AEEE564887924D22897D259763",1)</v>
      </c>
      <c r="U401" s="13" t="s">
        <v>819</v>
      </c>
      <c r="V401" s="5" t="s">
        <v>581</v>
      </c>
      <c r="W401" s="42" t="s">
        <v>1199</v>
      </c>
      <c r="X401"/>
    </row>
    <row r="402" customHeight="1" spans="1:23">
      <c r="A402" s="3" t="s">
        <v>1200</v>
      </c>
      <c r="B402" s="4">
        <v>11131535.93</v>
      </c>
      <c r="C402" s="4">
        <v>10348173.78</v>
      </c>
      <c r="D402" s="4">
        <f>AVERAGE(O402:Q402)</f>
        <v>6.86666666666667</v>
      </c>
      <c r="E402" s="4">
        <f>R402</f>
        <v>0.7</v>
      </c>
      <c r="F402" s="4">
        <f>(C402-B402*(1-0.01*D402)*E402)/(B402*(1-E402))</f>
        <v>0.9256447853719</v>
      </c>
      <c r="G402" s="4">
        <f>100-100*F402</f>
        <v>7.43552146280999</v>
      </c>
      <c r="H402" s="4">
        <v>10347528.25</v>
      </c>
      <c r="I402" s="4">
        <f>100-100*H402/B402</f>
        <v>7.04312221539045</v>
      </c>
      <c r="K402" s="4">
        <v>6.5</v>
      </c>
      <c r="L402" s="7">
        <v>45079.3958333333</v>
      </c>
      <c r="M402" s="8">
        <v>174</v>
      </c>
      <c r="N402" s="13">
        <v>2</v>
      </c>
      <c r="O402" s="13">
        <v>6.6</v>
      </c>
      <c r="P402" s="13">
        <v>2.3</v>
      </c>
      <c r="Q402" s="13">
        <v>11.7</v>
      </c>
      <c r="R402" s="13">
        <v>0.7</v>
      </c>
      <c r="S402" s="13" t="s">
        <v>1201</v>
      </c>
      <c r="T402" t="str">
        <f>_xlfn.DISPIMG("ID_8594350670894A83994259256103CCA3",1)</f>
        <v>=DISPIMG("ID_8594350670894A83994259256103CCA3",1)</v>
      </c>
      <c r="U402" s="66" t="s">
        <v>623</v>
      </c>
      <c r="V402" s="82" t="s">
        <v>29</v>
      </c>
      <c r="W402" s="52" t="s">
        <v>1202</v>
      </c>
    </row>
    <row r="403" customHeight="1" spans="1:23">
      <c r="A403" s="3" t="s">
        <v>1203</v>
      </c>
      <c r="B403" s="4">
        <v>223281864.91</v>
      </c>
      <c r="C403" s="4">
        <v>194031940.61</v>
      </c>
      <c r="D403" s="4">
        <f>AVERAGE(O403:Q403)</f>
        <v>13.1</v>
      </c>
      <c r="F403" s="4">
        <f>(C403-B403*(1-0.01*D403)*E403)/(B403*(1-E403))</f>
        <v>0.869000000014376</v>
      </c>
      <c r="G403" s="4">
        <f>100-100*F403</f>
        <v>13.0999999985624</v>
      </c>
      <c r="H403" s="4">
        <v>193734975.73</v>
      </c>
      <c r="I403" s="4">
        <f>100-100*H403/B403</f>
        <v>13.2329999984144</v>
      </c>
      <c r="K403" s="4">
        <v>12.7</v>
      </c>
      <c r="L403" s="7">
        <v>45083.3958333333</v>
      </c>
      <c r="M403" s="8">
        <v>45</v>
      </c>
      <c r="N403" s="13">
        <v>4</v>
      </c>
      <c r="O403" s="13">
        <v>13.9</v>
      </c>
      <c r="P403" s="13">
        <v>11.7</v>
      </c>
      <c r="Q403" s="13">
        <v>13.7</v>
      </c>
      <c r="R403" s="13"/>
      <c r="S403" s="13" t="s">
        <v>1204</v>
      </c>
      <c r="T403" s="13" t="str">
        <f>_xlfn.DISPIMG("ID_7440420982544900B6C7CD90F3E0F17F",1)</f>
        <v>=DISPIMG("ID_7440420982544900B6C7CD90F3E0F17F",1)</v>
      </c>
      <c r="U403" s="66" t="s">
        <v>1205</v>
      </c>
      <c r="V403" s="82" t="s">
        <v>29</v>
      </c>
      <c r="W403" s="52" t="s">
        <v>1206</v>
      </c>
    </row>
    <row r="404" customHeight="1" spans="1:23">
      <c r="A404" s="3" t="s">
        <v>1207</v>
      </c>
      <c r="B404" s="4">
        <v>8167717.4</v>
      </c>
      <c r="C404" s="4">
        <v>7471319.57</v>
      </c>
      <c r="D404" s="4">
        <f>AVERAGE(O404:Q404)</f>
        <v>8.63333333333333</v>
      </c>
      <c r="E404" s="4">
        <f>R404</f>
        <v>0.9</v>
      </c>
      <c r="F404" s="4">
        <f>(C404-B404*(1-0.01*D404)*E404)/(B404*(1-E404))</f>
        <v>0.924377662699251</v>
      </c>
      <c r="G404" s="4">
        <f>100-100*F404</f>
        <v>7.56223373007494</v>
      </c>
      <c r="H404" s="4">
        <v>7471051.95</v>
      </c>
      <c r="I404" s="4">
        <f>100-100*H404/B404</f>
        <v>8.52949993103337</v>
      </c>
      <c r="K404" s="4">
        <v>7.4</v>
      </c>
      <c r="L404" s="7">
        <v>45085.3958333333</v>
      </c>
      <c r="M404" s="8">
        <v>167</v>
      </c>
      <c r="N404" s="13">
        <v>4</v>
      </c>
      <c r="O404" s="13">
        <v>6.4</v>
      </c>
      <c r="P404" s="13">
        <v>10.2</v>
      </c>
      <c r="Q404" s="13">
        <v>9.3</v>
      </c>
      <c r="R404" s="13">
        <v>0.9</v>
      </c>
      <c r="S404" s="13" t="s">
        <v>1208</v>
      </c>
      <c r="T404" t="str">
        <f>_xlfn.DISPIMG("ID_8594350670894A83994259256103CCA3",1)</f>
        <v>=DISPIMG("ID_8594350670894A83994259256103CCA3",1)</v>
      </c>
      <c r="U404" s="66" t="s">
        <v>623</v>
      </c>
      <c r="V404" s="82" t="s">
        <v>29</v>
      </c>
      <c r="W404" s="52" t="s">
        <v>1209</v>
      </c>
    </row>
    <row r="405" customHeight="1" spans="1:23">
      <c r="A405" s="3" t="s">
        <v>1210</v>
      </c>
      <c r="B405" s="4">
        <v>4064566.48</v>
      </c>
      <c r="C405" s="4">
        <v>3904949.72</v>
      </c>
      <c r="D405" s="4">
        <f>AVERAGE(O405:Q405)</f>
        <v>2.73333333333333</v>
      </c>
      <c r="E405" s="4">
        <f>R405</f>
        <v>0.5</v>
      </c>
      <c r="F405" s="4">
        <f>(C405-B405*(1-0.01*D405)*E405)/(B405*(1-E405))</f>
        <v>0.94879272597193</v>
      </c>
      <c r="G405" s="4">
        <f>100-100*F405</f>
        <v>5.12072740280696</v>
      </c>
      <c r="H405" s="4">
        <v>3905035.31</v>
      </c>
      <c r="I405" s="4">
        <f>100-100*H405/B405</f>
        <v>3.92492460844188</v>
      </c>
      <c r="K405" s="4">
        <v>4.96</v>
      </c>
      <c r="L405" s="7">
        <v>45086.3541666667</v>
      </c>
      <c r="M405" s="8">
        <v>164</v>
      </c>
      <c r="N405" s="13">
        <v>3</v>
      </c>
      <c r="O405" s="13">
        <v>4.8</v>
      </c>
      <c r="P405" s="13">
        <v>2.6</v>
      </c>
      <c r="Q405" s="13">
        <v>0.8</v>
      </c>
      <c r="R405" s="13">
        <v>0.5</v>
      </c>
      <c r="S405" s="13" t="s">
        <v>1211</v>
      </c>
      <c r="T405" t="str">
        <f>_xlfn.DISPIMG("ID_39A08211ED6A4076AB89912F4CD96E32",1)</f>
        <v>=DISPIMG("ID_39A08211ED6A4076AB89912F4CD96E32",1)</v>
      </c>
      <c r="U405" s="66" t="s">
        <v>426</v>
      </c>
      <c r="V405" s="82" t="s">
        <v>29</v>
      </c>
      <c r="W405" s="52" t="s">
        <v>1212</v>
      </c>
    </row>
    <row r="406" customHeight="1" spans="1:22">
      <c r="A406" s="3" t="s">
        <v>1213</v>
      </c>
      <c r="B406" s="4">
        <v>15705763.9</v>
      </c>
      <c r="C406" s="4">
        <v>15127270.65</v>
      </c>
      <c r="D406" s="4">
        <f>AVERAGE(O406:Q406)</f>
        <v>2</v>
      </c>
      <c r="E406" s="4">
        <v>0.5</v>
      </c>
      <c r="F406" s="4">
        <f>(C406-B406*(1-0.01*D406)*E406)/(B406*(1-E406))</f>
        <v>0.94633363729605</v>
      </c>
      <c r="G406" s="4">
        <f>100-100*F406</f>
        <v>5.36663627039496</v>
      </c>
      <c r="H406" s="4">
        <v>15124316.68</v>
      </c>
      <c r="I406" s="4">
        <f>100-100*H406/B406</f>
        <v>3.70212632573701</v>
      </c>
      <c r="K406" s="4">
        <v>6</v>
      </c>
      <c r="L406" s="7">
        <v>45086.4583333333</v>
      </c>
      <c r="M406" s="8">
        <v>156</v>
      </c>
      <c r="N406" s="112">
        <v>1</v>
      </c>
      <c r="O406" s="112">
        <v>2.4</v>
      </c>
      <c r="P406" s="112">
        <v>3.1</v>
      </c>
      <c r="Q406" s="112">
        <v>0.5</v>
      </c>
      <c r="R406" s="112">
        <v>0.5</v>
      </c>
      <c r="S406" s="61" t="s">
        <v>1214</v>
      </c>
      <c r="T406" t="str">
        <f>_xlfn.DISPIMG("ID_39A08211ED6A4076AB89912F4CD96E32",1)</f>
        <v>=DISPIMG("ID_39A08211ED6A4076AB89912F4CD96E32",1)</v>
      </c>
      <c r="U406" s="66" t="s">
        <v>426</v>
      </c>
      <c r="V406" s="13" t="s">
        <v>1196</v>
      </c>
    </row>
    <row r="407" customHeight="1" spans="1:24">
      <c r="A407" s="3" t="s">
        <v>1215</v>
      </c>
      <c r="B407" s="4">
        <v>4274010.24</v>
      </c>
      <c r="C407" s="4"/>
      <c r="D407" s="4">
        <v>99.6</v>
      </c>
      <c r="H407" s="4">
        <v>3975648.68</v>
      </c>
      <c r="I407" s="4">
        <f>100-100*H407/B407</f>
        <v>6.9808340000608</v>
      </c>
      <c r="K407" s="4">
        <v>6.39</v>
      </c>
      <c r="L407" s="7">
        <v>45089.3958333333</v>
      </c>
      <c r="M407" s="8">
        <v>479</v>
      </c>
      <c r="N407"/>
      <c r="O407"/>
      <c r="P407"/>
      <c r="Q407"/>
      <c r="R407"/>
      <c r="S407" t="s">
        <v>1216</v>
      </c>
      <c r="T407" t="str">
        <f>_xlfn.DISPIMG("ID_B45AC5B0931F41358AA01BD5585B5788",1)</f>
        <v>=DISPIMG("ID_B45AC5B0931F41358AA01BD5585B5788",1)</v>
      </c>
      <c r="U407" t="s">
        <v>119</v>
      </c>
      <c r="V407" s="5" t="s">
        <v>120</v>
      </c>
      <c r="W407" s="20"/>
      <c r="X407"/>
    </row>
    <row r="408" customHeight="1" spans="1:23">
      <c r="A408" s="3" t="s">
        <v>1217</v>
      </c>
      <c r="B408" s="4">
        <v>17776320.45</v>
      </c>
      <c r="C408" s="4">
        <v>16920480.6</v>
      </c>
      <c r="D408" s="4">
        <f>AVERAGE(O408:Q408)</f>
        <v>4.36666666666667</v>
      </c>
      <c r="E408" s="4">
        <f>R408</f>
        <v>0.5</v>
      </c>
      <c r="F408" s="4">
        <f>(C408-B408*(1-0.01*D408)*E408)/(B408*(1-E408))</f>
        <v>0.947376790209135</v>
      </c>
      <c r="G408" s="4">
        <f>100-100*F408</f>
        <v>5.26232097908652</v>
      </c>
      <c r="H408" s="4">
        <v>16918580.51</v>
      </c>
      <c r="I408" s="4">
        <f>100-100*H408/B408</f>
        <v>4.82518270534439</v>
      </c>
      <c r="K408" s="4">
        <v>4.6</v>
      </c>
      <c r="L408" s="7">
        <v>45092.375</v>
      </c>
      <c r="M408" s="8">
        <v>176</v>
      </c>
      <c r="N408" s="13">
        <v>4</v>
      </c>
      <c r="O408" s="13">
        <v>1.4</v>
      </c>
      <c r="P408" s="13">
        <v>9.2</v>
      </c>
      <c r="Q408" s="13">
        <v>2.5</v>
      </c>
      <c r="R408" s="13">
        <v>0.5</v>
      </c>
      <c r="S408" s="13" t="s">
        <v>1218</v>
      </c>
      <c r="T408" t="str">
        <f>_xlfn.DISPIMG("ID_39A08211ED6A4076AB89912F4CD96E32",1)</f>
        <v>=DISPIMG("ID_39A08211ED6A4076AB89912F4CD96E32",1)</v>
      </c>
      <c r="U408" s="66" t="s">
        <v>426</v>
      </c>
      <c r="V408" s="82" t="s">
        <v>29</v>
      </c>
      <c r="W408" s="52" t="s">
        <v>1219</v>
      </c>
    </row>
    <row r="409" customHeight="1" spans="1:23">
      <c r="A409" s="3" t="s">
        <v>1220</v>
      </c>
      <c r="B409" s="4">
        <v>4538189.42</v>
      </c>
      <c r="C409" s="4">
        <v>4323201.68</v>
      </c>
      <c r="D409" s="4">
        <f>AVERAGE(O409:Q409)</f>
        <v>4.73333333333333</v>
      </c>
      <c r="E409" s="4">
        <v>0.9</v>
      </c>
      <c r="F409" s="4">
        <f>(C409-B409*(1-0.01*D409)*E409)/(B409*(1-E409))</f>
        <v>0.952269795939897</v>
      </c>
      <c r="G409" s="4">
        <f>100-100*F409</f>
        <v>4.77302040601029</v>
      </c>
      <c r="H409" s="4">
        <v>4322729.79</v>
      </c>
      <c r="I409" s="4">
        <f>100-100*H409/B409</f>
        <v>4.74770024033064</v>
      </c>
      <c r="K409" s="4">
        <v>9.5</v>
      </c>
      <c r="L409" s="7">
        <v>45092.3958333333</v>
      </c>
      <c r="M409" s="8">
        <v>151</v>
      </c>
      <c r="N409" s="112">
        <v>4</v>
      </c>
      <c r="O409" s="112">
        <v>2.5</v>
      </c>
      <c r="P409" s="112">
        <v>8.5</v>
      </c>
      <c r="Q409" s="112">
        <v>3.2</v>
      </c>
      <c r="R409" s="112">
        <v>0.9</v>
      </c>
      <c r="S409" s="61" t="s">
        <v>1221</v>
      </c>
      <c r="T409" t="str">
        <f>_xlfn.DISPIMG("ID_39A08211ED6A4076AB89912F4CD96E32",1)</f>
        <v>=DISPIMG("ID_39A08211ED6A4076AB89912F4CD96E32",1)</v>
      </c>
      <c r="U409" s="66" t="s">
        <v>426</v>
      </c>
      <c r="V409" s="13" t="s">
        <v>1196</v>
      </c>
      <c r="W409" s="13" t="s">
        <v>1222</v>
      </c>
    </row>
    <row r="410" customHeight="1" spans="1:24">
      <c r="A410" s="3" t="s">
        <v>1223</v>
      </c>
      <c r="B410" s="4">
        <v>5864588.36</v>
      </c>
      <c r="C410" s="4"/>
      <c r="D410" s="4">
        <v>9.07</v>
      </c>
      <c r="E410" s="4">
        <v>0.7</v>
      </c>
      <c r="F410" s="4"/>
      <c r="G410" s="4"/>
      <c r="H410" s="4">
        <v>5334984</v>
      </c>
      <c r="I410" s="4">
        <f>100-100*H410/B410</f>
        <v>9.03054617801001</v>
      </c>
      <c r="K410" s="4">
        <v>5</v>
      </c>
      <c r="L410" s="7">
        <v>45097.4583333333</v>
      </c>
      <c r="M410" s="8">
        <v>139</v>
      </c>
      <c r="N410" s="111">
        <v>3</v>
      </c>
      <c r="O410" s="111">
        <v>8.2</v>
      </c>
      <c r="P410" s="111">
        <v>9</v>
      </c>
      <c r="Q410" s="111">
        <v>10</v>
      </c>
      <c r="R410" s="111">
        <v>0.7</v>
      </c>
      <c r="S410" s="35" t="s">
        <v>1224</v>
      </c>
      <c r="T410" t="str">
        <f>_xlfn.DISPIMG("ID_39A08211ED6A4076AB89912F4CD96E32",1)</f>
        <v>=DISPIMG("ID_39A08211ED6A4076AB89912F4CD96E32",1)</v>
      </c>
      <c r="U410" s="120" t="s">
        <v>426</v>
      </c>
      <c r="V410" s="86" t="s">
        <v>59</v>
      </c>
      <c r="W410"/>
      <c r="X410"/>
    </row>
    <row r="411" customHeight="1" spans="1:22">
      <c r="A411" s="3" t="s">
        <v>1225</v>
      </c>
      <c r="B411" s="4">
        <v>4717817.08</v>
      </c>
      <c r="C411" s="4">
        <v>4491912.34</v>
      </c>
      <c r="D411" s="4">
        <f>AVERAGE(O411:Q411)</f>
        <v>3.23333333333333</v>
      </c>
      <c r="E411" s="4">
        <v>0.1</v>
      </c>
      <c r="F411" s="4">
        <f>(C411-B411*(1-0.01*D411)*E411)/(B411*(1-E411))</f>
        <v>0.950388904867873</v>
      </c>
      <c r="G411" s="4">
        <f>100-100*F411</f>
        <v>4.96110951321268</v>
      </c>
      <c r="H411" s="4">
        <v>4490887.24</v>
      </c>
      <c r="I411" s="4">
        <f>100-100*H411/B411</f>
        <v>4.81006016451998</v>
      </c>
      <c r="K411" s="4">
        <v>5.5</v>
      </c>
      <c r="L411" s="7">
        <v>45098.3958333333</v>
      </c>
      <c r="M411" s="8">
        <v>144</v>
      </c>
      <c r="N411" s="112">
        <v>3</v>
      </c>
      <c r="O411" s="112">
        <v>4.8</v>
      </c>
      <c r="P411" s="112">
        <v>1.6</v>
      </c>
      <c r="Q411" s="112">
        <v>3.3</v>
      </c>
      <c r="R411" s="112">
        <v>0.1</v>
      </c>
      <c r="S411" s="61" t="s">
        <v>1226</v>
      </c>
      <c r="T411" t="str">
        <f>_xlfn.DISPIMG("ID_39A08211ED6A4076AB89912F4CD96E32",1)</f>
        <v>=DISPIMG("ID_39A08211ED6A4076AB89912F4CD96E32",1)</v>
      </c>
      <c r="U411" s="66" t="s">
        <v>426</v>
      </c>
      <c r="V411" s="86" t="s">
        <v>59</v>
      </c>
    </row>
    <row r="412" customHeight="1" spans="1:24">
      <c r="A412" s="3" t="s">
        <v>1227</v>
      </c>
      <c r="B412" s="4">
        <v>21662699.21</v>
      </c>
      <c r="C412" s="4">
        <v>21068369.24</v>
      </c>
      <c r="D412" s="4">
        <v>0.3</v>
      </c>
      <c r="F412" s="4">
        <f>(H412/B412-D412)/(1-D412)</f>
        <v>0.96127478691714</v>
      </c>
      <c r="G412" s="4">
        <f>100-100*F412</f>
        <v>3.87252130828597</v>
      </c>
      <c r="H412" s="4">
        <v>21075474.36</v>
      </c>
      <c r="I412" s="4">
        <f>100-100*H412/B412</f>
        <v>2.71076491580017</v>
      </c>
      <c r="K412" s="4">
        <v>2.23</v>
      </c>
      <c r="L412" s="7">
        <v>45103.3958333333</v>
      </c>
      <c r="M412" s="8">
        <v>99</v>
      </c>
      <c r="N412"/>
      <c r="O412"/>
      <c r="P412"/>
      <c r="Q412"/>
      <c r="R412"/>
      <c r="S412" t="s">
        <v>1228</v>
      </c>
      <c r="T412" t="str">
        <f>_xlfn.DISPIMG("ID_78D091679EC1484B9B58638A575F8F94",1)</f>
        <v>=DISPIMG("ID_78D091679EC1484B9B58638A575F8F94",1)</v>
      </c>
      <c r="U412" s="13" t="s">
        <v>1116</v>
      </c>
      <c r="V412" s="5" t="s">
        <v>581</v>
      </c>
      <c r="W412"/>
      <c r="X412"/>
    </row>
    <row r="413" customHeight="1" spans="1:24">
      <c r="A413" s="3" t="s">
        <v>1229</v>
      </c>
      <c r="B413" s="4">
        <v>15754692.51</v>
      </c>
      <c r="C413" s="4">
        <v>15459444.66</v>
      </c>
      <c r="D413" s="4">
        <v>0.1</v>
      </c>
      <c r="E413" s="4"/>
      <c r="F413" s="4">
        <f>(H413/B413-D413)/(1-D413)</f>
        <v>0.979333333381714</v>
      </c>
      <c r="G413" s="4">
        <f>100-100*F413</f>
        <v>2.06666666182859</v>
      </c>
      <c r="H413" s="4">
        <v>15461655.23</v>
      </c>
      <c r="I413" s="4">
        <f>100-100*H413/B413</f>
        <v>1.85999999564574</v>
      </c>
      <c r="K413" s="4">
        <v>1.8</v>
      </c>
      <c r="L413" s="7">
        <v>45104.4791666667</v>
      </c>
      <c r="M413" s="8">
        <v>126</v>
      </c>
      <c r="N413"/>
      <c r="O413"/>
      <c r="P413"/>
      <c r="Q413"/>
      <c r="R413"/>
      <c r="S413" t="s">
        <v>1230</v>
      </c>
      <c r="T413" t="str">
        <f>_xlfn.DISPIMG("ID_4B3DF2AEEE564887924D22897D259763",1)</f>
        <v>=DISPIMG("ID_4B3DF2AEEE564887924D22897D259763",1)</v>
      </c>
      <c r="U413" s="13" t="s">
        <v>819</v>
      </c>
      <c r="V413" s="5" t="s">
        <v>581</v>
      </c>
      <c r="W413"/>
      <c r="X413"/>
    </row>
    <row r="414" customHeight="1" spans="1:24">
      <c r="A414" s="3" t="s">
        <v>1231</v>
      </c>
      <c r="B414" s="4">
        <v>15683564.74</v>
      </c>
      <c r="C414" s="4"/>
      <c r="D414" s="4">
        <v>0.3</v>
      </c>
      <c r="E414" s="4"/>
      <c r="F414" s="4">
        <f>(H414/B414-D414)/(1-D414)</f>
        <v>0.980278274596974</v>
      </c>
      <c r="G414" s="4">
        <f>100-100*F414</f>
        <v>1.97217254030258</v>
      </c>
      <c r="H414" s="4">
        <v>15467049.87</v>
      </c>
      <c r="I414" s="4">
        <f>100-100*H414/B414</f>
        <v>1.3805207782118</v>
      </c>
      <c r="K414" s="4">
        <v>9.8</v>
      </c>
      <c r="L414" s="7">
        <v>45104.5</v>
      </c>
      <c r="M414" s="8">
        <v>123</v>
      </c>
      <c r="N414"/>
      <c r="O414"/>
      <c r="P414"/>
      <c r="Q414"/>
      <c r="R414"/>
      <c r="S414" t="s">
        <v>1232</v>
      </c>
      <c r="T414" t="str">
        <f>_xlfn.DISPIMG("ID_997FAAA4B2494459B426DFD71A0C311E",1)</f>
        <v>=DISPIMG("ID_997FAAA4B2494459B426DFD71A0C311E",1)</v>
      </c>
      <c r="U414" t="s">
        <v>819</v>
      </c>
      <c r="V414" s="5" t="s">
        <v>40</v>
      </c>
      <c r="W414" s="5" t="s">
        <v>1233</v>
      </c>
      <c r="X414"/>
    </row>
    <row r="415" customHeight="1" spans="1:24">
      <c r="A415" s="3" t="s">
        <v>1231</v>
      </c>
      <c r="B415" s="4">
        <v>15683564.74</v>
      </c>
      <c r="C415" s="4">
        <v>15468989.85</v>
      </c>
      <c r="D415" s="4">
        <v>0.3</v>
      </c>
      <c r="E415" s="4"/>
      <c r="F415" s="4">
        <f>(H415/B415-D415)/(1-D415)</f>
        <v>0.980278274596974</v>
      </c>
      <c r="G415" s="4">
        <f>100-100*F415</f>
        <v>1.97217254030258</v>
      </c>
      <c r="H415" s="4">
        <v>15467049.87</v>
      </c>
      <c r="I415" s="4">
        <f>100-100*H415/B415</f>
        <v>1.3805207782118</v>
      </c>
      <c r="K415" s="4">
        <v>1.88</v>
      </c>
      <c r="L415" s="7">
        <v>45104.5</v>
      </c>
      <c r="M415" s="8">
        <v>123</v>
      </c>
      <c r="N415"/>
      <c r="O415"/>
      <c r="P415"/>
      <c r="Q415"/>
      <c r="R415"/>
      <c r="S415" t="s">
        <v>1232</v>
      </c>
      <c r="T415" t="str">
        <f>_xlfn.DISPIMG("ID_4B3DF2AEEE564887924D22897D259763",1)</f>
        <v>=DISPIMG("ID_4B3DF2AEEE564887924D22897D259763",1)</v>
      </c>
      <c r="U415" s="13" t="s">
        <v>819</v>
      </c>
      <c r="V415" s="5" t="s">
        <v>581</v>
      </c>
      <c r="W415"/>
      <c r="X415"/>
    </row>
    <row r="416" customHeight="1" spans="1:24">
      <c r="A416" s="3" t="s">
        <v>1234</v>
      </c>
      <c r="B416" s="4">
        <v>10661077.26</v>
      </c>
      <c r="C416" s="4">
        <v>10403356.37</v>
      </c>
      <c r="D416" s="4">
        <v>0.2</v>
      </c>
      <c r="F416" s="4">
        <f>(H416/B416-D416)/(1-D416)</f>
        <v>0.969499999430639</v>
      </c>
      <c r="G416" s="4">
        <f>100-100*F416</f>
        <v>3.05000005693608</v>
      </c>
      <c r="H416" s="4">
        <v>10400946.97</v>
      </c>
      <c r="I416" s="4">
        <f>100-100*H416/B416</f>
        <v>2.44000004554886</v>
      </c>
      <c r="K416" s="4">
        <v>1.56</v>
      </c>
      <c r="L416" s="7">
        <v>45104.5208333333</v>
      </c>
      <c r="M416" s="8">
        <v>125</v>
      </c>
      <c r="N416"/>
      <c r="O416"/>
      <c r="P416"/>
      <c r="Q416"/>
      <c r="R416"/>
      <c r="S416" t="s">
        <v>1235</v>
      </c>
      <c r="T416" t="str">
        <f>_xlfn.DISPIMG("ID_4B3DF2AEEE564887924D22897D259763",1)</f>
        <v>=DISPIMG("ID_4B3DF2AEEE564887924D22897D259763",1)</v>
      </c>
      <c r="U416" s="13" t="s">
        <v>819</v>
      </c>
      <c r="V416" s="5" t="s">
        <v>581</v>
      </c>
      <c r="W416"/>
      <c r="X416"/>
    </row>
    <row r="417" customHeight="1" spans="1:23">
      <c r="A417" s="3" t="s">
        <v>1236</v>
      </c>
      <c r="B417" s="4">
        <v>9216194.55</v>
      </c>
      <c r="C417" s="4">
        <v>8047615.34</v>
      </c>
      <c r="D417" s="4">
        <f>AVERAGE(O417:Q417)</f>
        <v>12.9</v>
      </c>
      <c r="E417" s="4">
        <f>R417</f>
        <v>0.3</v>
      </c>
      <c r="F417" s="4">
        <f>(C417-B417*(1-0.01*D417)*E417)/(B417*(1-E417))</f>
        <v>0.874148167506326</v>
      </c>
      <c r="G417" s="4">
        <f>100-100*F417</f>
        <v>12.5851832493674</v>
      </c>
      <c r="H417" s="4">
        <v>8046847.95</v>
      </c>
      <c r="I417" s="4">
        <f>100-100*H417/B417</f>
        <v>12.6879548131935</v>
      </c>
      <c r="K417" s="4">
        <v>12</v>
      </c>
      <c r="L417" s="7">
        <v>45105.4583333333</v>
      </c>
      <c r="M417" s="8">
        <v>166</v>
      </c>
      <c r="N417" s="13">
        <v>3</v>
      </c>
      <c r="O417" s="13">
        <v>13.9</v>
      </c>
      <c r="P417" s="13">
        <v>14.2</v>
      </c>
      <c r="Q417" s="13">
        <v>10.6</v>
      </c>
      <c r="R417" s="13">
        <v>0.3</v>
      </c>
      <c r="S417" s="13" t="s">
        <v>1237</v>
      </c>
      <c r="T417" s="13" t="str">
        <f>_xlfn.DISPIMG("ID_53926C45FAD7445A99C6151A38F98956",1)</f>
        <v>=DISPIMG("ID_53926C45FAD7445A99C6151A38F98956",1)</v>
      </c>
      <c r="U417" s="66" t="s">
        <v>1238</v>
      </c>
      <c r="V417" s="82" t="s">
        <v>29</v>
      </c>
      <c r="W417" s="52" t="s">
        <v>1239</v>
      </c>
    </row>
    <row r="418" customHeight="1" spans="1:24">
      <c r="A418" s="3" t="s">
        <v>1240</v>
      </c>
      <c r="B418" s="4">
        <v>10964959.53</v>
      </c>
      <c r="C418" s="4">
        <v>10789419.3</v>
      </c>
      <c r="D418" s="4">
        <v>0.1</v>
      </c>
      <c r="E418" s="4"/>
      <c r="F418" s="4">
        <f>(H418/B418-D418)/(1-D418)</f>
        <v>0.981888888923241</v>
      </c>
      <c r="G418" s="4">
        <f>100-100*F418</f>
        <v>1.81111110767593</v>
      </c>
      <c r="H418" s="4">
        <v>10786230.69</v>
      </c>
      <c r="I418" s="4">
        <f>100-100*H418/B418</f>
        <v>1.62999999690832</v>
      </c>
      <c r="K418" s="4">
        <v>1.2</v>
      </c>
      <c r="L418" s="7">
        <v>45105.4583333333</v>
      </c>
      <c r="M418" s="8">
        <v>71</v>
      </c>
      <c r="N418"/>
      <c r="O418"/>
      <c r="P418"/>
      <c r="Q418"/>
      <c r="R418"/>
      <c r="S418" t="s">
        <v>1241</v>
      </c>
      <c r="T418" t="str">
        <f>_xlfn.DISPIMG("ID_4B3DF2AEEE564887924D22897D259763",1)</f>
        <v>=DISPIMG("ID_4B3DF2AEEE564887924D22897D259763",1)</v>
      </c>
      <c r="U418" s="13" t="s">
        <v>819</v>
      </c>
      <c r="V418" s="5" t="s">
        <v>581</v>
      </c>
      <c r="W418"/>
      <c r="X418"/>
    </row>
    <row r="419" customHeight="1" spans="1:24">
      <c r="A419" s="3" t="s">
        <v>1242</v>
      </c>
      <c r="B419" s="4">
        <v>10976041.51</v>
      </c>
      <c r="C419" s="4">
        <v>10817327.95</v>
      </c>
      <c r="D419" s="4">
        <v>0.2</v>
      </c>
      <c r="F419" s="4">
        <f>(H419/B419-D419)/(1-D419)</f>
        <v>0.981500000495169</v>
      </c>
      <c r="G419" s="4">
        <f>100-100*F419</f>
        <v>1.84999995048307</v>
      </c>
      <c r="H419" s="4">
        <v>10813596.1</v>
      </c>
      <c r="I419" s="4">
        <f>100-100*H419/B419</f>
        <v>1.47999996038645</v>
      </c>
      <c r="K419" s="4">
        <v>2.8</v>
      </c>
      <c r="L419" s="7">
        <v>45105.5</v>
      </c>
      <c r="M419" s="8">
        <v>72</v>
      </c>
      <c r="N419"/>
      <c r="O419"/>
      <c r="P419"/>
      <c r="Q419"/>
      <c r="R419"/>
      <c r="S419" t="s">
        <v>1243</v>
      </c>
      <c r="T419" t="str">
        <f>_xlfn.DISPIMG("ID_4B3DF2AEEE564887924D22897D259763",1)</f>
        <v>=DISPIMG("ID_4B3DF2AEEE564887924D22897D259763",1)</v>
      </c>
      <c r="U419" s="13" t="s">
        <v>819</v>
      </c>
      <c r="V419" s="5" t="s">
        <v>581</v>
      </c>
      <c r="W419"/>
      <c r="X419"/>
    </row>
    <row r="420" customHeight="1" spans="1:24">
      <c r="A420" s="3" t="s">
        <v>1244</v>
      </c>
      <c r="B420" s="4">
        <v>6207831.47</v>
      </c>
      <c r="C420" s="4">
        <v>6136437.09</v>
      </c>
      <c r="D420" s="4">
        <v>0.1</v>
      </c>
      <c r="F420" s="4">
        <f>(H420/B420-D420)/(1-D420)</f>
        <v>0.987062569388842</v>
      </c>
      <c r="G420" s="4">
        <f>100-100*F420</f>
        <v>1.29374306111582</v>
      </c>
      <c r="H420" s="4">
        <v>6135549.42</v>
      </c>
      <c r="I420" s="4">
        <f>100-100*H420/B420</f>
        <v>1.16436875500423</v>
      </c>
      <c r="K420" s="4">
        <v>6.8</v>
      </c>
      <c r="L420" s="7">
        <v>45105.5208333333</v>
      </c>
      <c r="M420" s="8">
        <v>599</v>
      </c>
      <c r="N420"/>
      <c r="O420"/>
      <c r="P420"/>
      <c r="Q420"/>
      <c r="R420"/>
      <c r="S420" t="s">
        <v>1245</v>
      </c>
      <c r="T420" t="str">
        <f>_xlfn.DISPIMG("ID_4B3DF2AEEE564887924D22897D259763",1)</f>
        <v>=DISPIMG("ID_4B3DF2AEEE564887924D22897D259763",1)</v>
      </c>
      <c r="U420" s="13" t="s">
        <v>819</v>
      </c>
      <c r="V420" s="5" t="s">
        <v>581</v>
      </c>
      <c r="W420"/>
      <c r="X420"/>
    </row>
    <row r="421" customHeight="1" spans="1:24">
      <c r="A421" s="3" t="s">
        <v>1246</v>
      </c>
      <c r="B421" s="4">
        <v>39000000</v>
      </c>
      <c r="C421" s="4"/>
      <c r="D421" s="4"/>
      <c r="H421" s="4">
        <v>37070000</v>
      </c>
      <c r="I421" s="4">
        <f>100-100*H421/B421</f>
        <v>4.94871794871794</v>
      </c>
      <c r="K421" s="4">
        <v>5</v>
      </c>
      <c r="L421" s="7">
        <v>45106.375</v>
      </c>
      <c r="M421" s="8">
        <v>4</v>
      </c>
      <c r="N421"/>
      <c r="O421"/>
      <c r="P421"/>
      <c r="Q421"/>
      <c r="R421"/>
      <c r="S421" s="35" t="s">
        <v>1247</v>
      </c>
      <c r="T421" t="str">
        <f>_xlfn.DISPIMG("ID_9A093A59680C4B9CBB1AA0192D7DFDC4",1)</f>
        <v>=DISPIMG("ID_9A093A59680C4B9CBB1AA0192D7DFDC4",1)</v>
      </c>
      <c r="U421" s="120" t="s">
        <v>755</v>
      </c>
      <c r="V421"/>
      <c r="W421" t="s">
        <v>1248</v>
      </c>
      <c r="X421"/>
    </row>
    <row r="422" customHeight="1" spans="1:22">
      <c r="A422" s="131" t="s">
        <v>1249</v>
      </c>
      <c r="B422" s="132">
        <v>19485370.43</v>
      </c>
      <c r="C422" s="133">
        <v>17739705.45</v>
      </c>
      <c r="D422" s="4">
        <f>AVERAGE(O422:Q422)</f>
        <v>8.56666666666667</v>
      </c>
      <c r="E422" s="4">
        <v>0.1</v>
      </c>
      <c r="F422" s="4"/>
      <c r="G422" s="4"/>
      <c r="H422" s="133">
        <v>17739481.24</v>
      </c>
      <c r="I422" s="4">
        <f>100-100*H422/B422</f>
        <v>8.95999999729028</v>
      </c>
      <c r="K422" s="4">
        <v>4.86</v>
      </c>
      <c r="L422" s="7">
        <v>45106.4583333333</v>
      </c>
      <c r="M422" s="8">
        <v>157</v>
      </c>
      <c r="N422" s="13">
        <v>1</v>
      </c>
      <c r="O422" s="13">
        <v>8.2</v>
      </c>
      <c r="P422" s="13">
        <v>8.4</v>
      </c>
      <c r="Q422" s="13">
        <v>9.1</v>
      </c>
      <c r="R422" s="13">
        <v>0.1</v>
      </c>
      <c r="S422" s="13" t="s">
        <v>1250</v>
      </c>
      <c r="T422" s="13" t="str">
        <f>_xlfn.DISPIMG("ID_25596935548746A69B07B75A8BC0A991",1)</f>
        <v>=DISPIMG("ID_25596935548746A69B07B75A8BC0A991",1)</v>
      </c>
      <c r="U422" s="66" t="s">
        <v>1251</v>
      </c>
      <c r="V422" s="134" t="s">
        <v>506</v>
      </c>
    </row>
    <row r="423" customHeight="1" spans="1:24">
      <c r="A423" s="3" t="s">
        <v>1252</v>
      </c>
      <c r="B423" s="4">
        <v>3371296.75</v>
      </c>
      <c r="C423" s="4">
        <v>3082227.6</v>
      </c>
      <c r="D423" s="4">
        <v>0.1</v>
      </c>
      <c r="H423" s="4">
        <v>3081702</v>
      </c>
      <c r="I423" s="4">
        <f>100-100*H423/B423</f>
        <v>8.59001065391233</v>
      </c>
      <c r="K423" s="4">
        <v>5.23</v>
      </c>
      <c r="L423" s="7">
        <v>45107.375</v>
      </c>
      <c r="M423" s="8">
        <v>30</v>
      </c>
      <c r="N423"/>
      <c r="O423"/>
      <c r="P423"/>
      <c r="Q423"/>
      <c r="R423"/>
      <c r="S423" t="s">
        <v>1253</v>
      </c>
      <c r="T423" t="str">
        <f>_xlfn.DISPIMG("ID_C873D48870844938AC932FB38EF1BB68",1)</f>
        <v>=DISPIMG("ID_C873D48870844938AC932FB38EF1BB68",1)</v>
      </c>
      <c r="U423" s="13" t="s">
        <v>763</v>
      </c>
      <c r="V423" s="20" t="s">
        <v>1254</v>
      </c>
      <c r="W423"/>
      <c r="X423"/>
    </row>
    <row r="424" customHeight="1" spans="1:24">
      <c r="A424" s="3" t="s">
        <v>1255</v>
      </c>
      <c r="B424" s="4">
        <v>2355820</v>
      </c>
      <c r="C424" s="4">
        <v>2314303</v>
      </c>
      <c r="D424" s="4">
        <v>0.4</v>
      </c>
      <c r="E424" s="4"/>
      <c r="F424" s="4">
        <f>(H424/B424-D424)/(1-D424)</f>
        <v>0.949769789995274</v>
      </c>
      <c r="G424" s="4">
        <f>100-100*F424</f>
        <v>5.02302100047258</v>
      </c>
      <c r="H424" s="4">
        <v>2284820</v>
      </c>
      <c r="I424" s="4">
        <f>100-100*H424/B424</f>
        <v>3.01381260028356</v>
      </c>
      <c r="K424" s="4">
        <v>7.52</v>
      </c>
      <c r="L424" s="7">
        <v>45112.4583333333</v>
      </c>
      <c r="M424" s="8">
        <v>3</v>
      </c>
      <c r="N424"/>
      <c r="O424"/>
      <c r="P424"/>
      <c r="Q424"/>
      <c r="R424"/>
      <c r="S424" t="s">
        <v>1256</v>
      </c>
      <c r="T424" t="str">
        <f>_xlfn.DISPIMG("ID_33FBDAE6BE0B44BD91F51F49110207B3",1)</f>
        <v>=DISPIMG("ID_33FBDAE6BE0B44BD91F51F49110207B3",1)</v>
      </c>
      <c r="U424" s="13" t="s">
        <v>1257</v>
      </c>
      <c r="V424" s="5" t="s">
        <v>581</v>
      </c>
      <c r="W424" s="5" t="s">
        <v>1258</v>
      </c>
      <c r="X424"/>
    </row>
    <row r="425" customHeight="1" spans="1:23">
      <c r="A425" s="3" t="s">
        <v>1259</v>
      </c>
      <c r="B425" s="4">
        <v>3878149.17</v>
      </c>
      <c r="C425" s="4">
        <v>3472106.95</v>
      </c>
      <c r="D425" s="4">
        <f>AVERAGE(O425:Q425)</f>
        <v>10.4666666666667</v>
      </c>
      <c r="F425" s="4">
        <f>(C425-B425*(1-0.01*D425)*E425)/(B425*(1-E425))</f>
        <v>0.895299999509818</v>
      </c>
      <c r="G425" s="4">
        <f>100-100*F425</f>
        <v>10.4700000490182</v>
      </c>
      <c r="H425" s="4">
        <v>3474821.66</v>
      </c>
      <c r="I425" s="4">
        <f>100-100*H425/B425</f>
        <v>10.3999999051094</v>
      </c>
      <c r="K425" s="4">
        <v>9.8</v>
      </c>
      <c r="L425" s="7">
        <v>45113.375</v>
      </c>
      <c r="M425" s="8"/>
      <c r="N425" s="13">
        <v>3</v>
      </c>
      <c r="O425" s="13">
        <v>12.5</v>
      </c>
      <c r="P425" s="13">
        <v>15</v>
      </c>
      <c r="Q425" s="13">
        <v>3.9</v>
      </c>
      <c r="R425" s="13"/>
      <c r="S425" s="13" t="s">
        <v>1260</v>
      </c>
      <c r="T425" s="13" t="str">
        <f>_xlfn.DISPIMG("ID_D313F0814D2A4950B6928E38FC98FEA3",1)</f>
        <v>=DISPIMG("ID_D313F0814D2A4950B6928E38FC98FEA3",1)</v>
      </c>
      <c r="U425" s="66" t="s">
        <v>753</v>
      </c>
      <c r="V425" s="82" t="s">
        <v>29</v>
      </c>
      <c r="W425" s="49" t="s">
        <v>1261</v>
      </c>
    </row>
    <row r="426" customHeight="1" spans="1:24">
      <c r="A426" s="3" t="s">
        <v>1262</v>
      </c>
      <c r="B426" s="4">
        <v>22480476.94</v>
      </c>
      <c r="C426" s="4">
        <v>22094037.54</v>
      </c>
      <c r="D426" s="4">
        <v>0.4</v>
      </c>
      <c r="F426" s="4">
        <f>(H426/B426-D426)/(1-D426)</f>
        <v>0.957833333079928</v>
      </c>
      <c r="G426" s="4">
        <f>100-100*F426</f>
        <v>4.21666669200718</v>
      </c>
      <c r="H426" s="4">
        <v>21911720.87</v>
      </c>
      <c r="I426" s="4">
        <f>100-100*H426/B426</f>
        <v>2.53000001520431</v>
      </c>
      <c r="K426" s="4">
        <v>1.5</v>
      </c>
      <c r="L426" s="7">
        <v>45113.4583333333</v>
      </c>
      <c r="M426" s="8">
        <v>5</v>
      </c>
      <c r="N426"/>
      <c r="O426"/>
      <c r="P426"/>
      <c r="Q426"/>
      <c r="R426"/>
      <c r="S426" t="s">
        <v>1263</v>
      </c>
      <c r="T426" t="str">
        <f>_xlfn.DISPIMG("ID_506DF0493A674FEBAC140F76A6276F0F",1)</f>
        <v>=DISPIMG("ID_506DF0493A674FEBAC140F76A6276F0F",1)</v>
      </c>
      <c r="U426" s="13" t="s">
        <v>1264</v>
      </c>
      <c r="V426" s="5" t="s">
        <v>581</v>
      </c>
      <c r="W426"/>
      <c r="X426"/>
    </row>
    <row r="427" customHeight="1" spans="1:24">
      <c r="A427" s="3" t="s">
        <v>1265</v>
      </c>
      <c r="B427" s="4">
        <v>2893427.85</v>
      </c>
      <c r="C427" s="4"/>
      <c r="D427" s="4">
        <v>98</v>
      </c>
      <c r="H427" s="4">
        <v>2625249.46</v>
      </c>
      <c r="I427" s="4">
        <f>100-100*H427/B427</f>
        <v>9.26853558833341</v>
      </c>
      <c r="K427" s="4">
        <v>11.9</v>
      </c>
      <c r="L427" s="7">
        <v>45125.3541666667</v>
      </c>
      <c r="M427" s="8">
        <v>150</v>
      </c>
      <c r="N427"/>
      <c r="O427"/>
      <c r="P427"/>
      <c r="Q427"/>
      <c r="R427"/>
      <c r="S427" t="s">
        <v>1266</v>
      </c>
      <c r="T427" t="str">
        <f>_xlfn.DISPIMG("ID_B45AC5B0931F41358AA01BD5585B5788",1)</f>
        <v>=DISPIMG("ID_B45AC5B0931F41358AA01BD5585B5788",1)</v>
      </c>
      <c r="U427" t="s">
        <v>119</v>
      </c>
      <c r="V427" s="5" t="s">
        <v>402</v>
      </c>
      <c r="W427" s="20"/>
      <c r="X427"/>
    </row>
    <row r="428" customHeight="1" spans="1:24">
      <c r="A428" s="117" t="s">
        <v>1267</v>
      </c>
      <c r="B428" s="4">
        <v>8965061.75</v>
      </c>
      <c r="C428" s="4">
        <v>8350366.23</v>
      </c>
      <c r="D428" s="4">
        <v>0.1</v>
      </c>
      <c r="E428" s="4"/>
      <c r="F428" s="4">
        <f>(H428/B428-D428)/(1-D428)</f>
        <v>0.976955439140047</v>
      </c>
      <c r="G428" s="4">
        <f>100-100*F428</f>
        <v>2.3044560859953</v>
      </c>
      <c r="H428" s="4">
        <v>8779125.43</v>
      </c>
      <c r="I428" s="4">
        <f>100-100*H428/B428</f>
        <v>2.07401047739576</v>
      </c>
      <c r="K428" s="4">
        <v>1.6</v>
      </c>
      <c r="L428" s="7">
        <v>45125.375</v>
      </c>
      <c r="M428" s="8">
        <v>1084</v>
      </c>
      <c r="N428"/>
      <c r="O428"/>
      <c r="P428"/>
      <c r="Q428"/>
      <c r="R428"/>
      <c r="S428" t="s">
        <v>1268</v>
      </c>
      <c r="T428" t="str">
        <f>_xlfn.DISPIMG("ID_7CFD3D00FB5F4930830C4CD282BB90A8",1)</f>
        <v>=DISPIMG("ID_7CFD3D00FB5F4930830C4CD282BB90A8",1)</v>
      </c>
      <c r="U428" s="13" t="s">
        <v>1084</v>
      </c>
      <c r="V428" s="5" t="s">
        <v>581</v>
      </c>
      <c r="W428"/>
      <c r="X428"/>
    </row>
    <row r="429" customHeight="1" spans="1:24">
      <c r="A429" s="117" t="s">
        <v>1269</v>
      </c>
      <c r="B429" s="4">
        <v>9271586.29</v>
      </c>
      <c r="C429" s="4">
        <v>8622588.25</v>
      </c>
      <c r="D429" s="4">
        <v>0.1</v>
      </c>
      <c r="E429" s="4"/>
      <c r="F429" s="4">
        <f>(H429/B429-D429)/(1-D429)</f>
        <v>0.974811704464485</v>
      </c>
      <c r="G429" s="4">
        <f>100-100*F429</f>
        <v>2.51882955355155</v>
      </c>
      <c r="H429" s="4">
        <v>9061404.38</v>
      </c>
      <c r="I429" s="4">
        <f>100-100*H429/B429</f>
        <v>2.26694659819638</v>
      </c>
      <c r="K429" s="4">
        <v>1.67</v>
      </c>
      <c r="L429" s="7">
        <v>45125.375</v>
      </c>
      <c r="M429" s="8">
        <v>1080</v>
      </c>
      <c r="N429"/>
      <c r="O429"/>
      <c r="P429"/>
      <c r="Q429"/>
      <c r="R429"/>
      <c r="S429" t="s">
        <v>1270</v>
      </c>
      <c r="T429" t="str">
        <f>_xlfn.DISPIMG("ID_7CFD3D00FB5F4930830C4CD282BB90A8",1)</f>
        <v>=DISPIMG("ID_7CFD3D00FB5F4930830C4CD282BB90A8",1)</v>
      </c>
      <c r="U429" s="13" t="s">
        <v>1084</v>
      </c>
      <c r="V429" s="5" t="s">
        <v>581</v>
      </c>
      <c r="W429"/>
      <c r="X429"/>
    </row>
    <row r="430" customHeight="1" spans="1:24">
      <c r="A430" s="117" t="s">
        <v>1271</v>
      </c>
      <c r="B430" s="4">
        <v>9396338.73</v>
      </c>
      <c r="C430" s="4">
        <v>8752275.36</v>
      </c>
      <c r="D430" s="4">
        <v>0.1</v>
      </c>
      <c r="E430" s="4"/>
      <c r="F430" s="4">
        <f>(H430/B430-D430)/(1-D430)</f>
        <v>0.976908067231605</v>
      </c>
      <c r="G430" s="4">
        <f>100-100*F430</f>
        <v>2.30919327683947</v>
      </c>
      <c r="H430" s="4">
        <v>9201057.07</v>
      </c>
      <c r="I430" s="4">
        <f>100-100*H430/B430</f>
        <v>2.07827394915552</v>
      </c>
      <c r="K430" s="4">
        <v>1.86</v>
      </c>
      <c r="L430" s="7">
        <v>45125.375</v>
      </c>
      <c r="M430" s="8">
        <v>1079</v>
      </c>
      <c r="N430"/>
      <c r="O430"/>
      <c r="P430"/>
      <c r="Q430"/>
      <c r="R430"/>
      <c r="S430" t="s">
        <v>1272</v>
      </c>
      <c r="T430" t="str">
        <f>_xlfn.DISPIMG("ID_7CFD3D00FB5F4930830C4CD282BB90A8",1)</f>
        <v>=DISPIMG("ID_7CFD3D00FB5F4930830C4CD282BB90A8",1)</v>
      </c>
      <c r="U430" s="13" t="s">
        <v>1084</v>
      </c>
      <c r="V430" s="5" t="s">
        <v>581</v>
      </c>
      <c r="W430"/>
      <c r="X430"/>
    </row>
    <row r="431" customHeight="1" spans="1:24">
      <c r="A431" s="117" t="s">
        <v>1273</v>
      </c>
      <c r="B431" s="4">
        <v>7248374.31</v>
      </c>
      <c r="C431" s="4">
        <v>6734771.46</v>
      </c>
      <c r="D431" s="4">
        <v>0.1</v>
      </c>
      <c r="F431" s="4">
        <f>(H431/B431-D431)/(1-D431)</f>
        <v>0.974795277002373</v>
      </c>
      <c r="G431" s="4">
        <f>100-100*F431</f>
        <v>2.52047229976272</v>
      </c>
      <c r="H431" s="4">
        <v>7083950.37</v>
      </c>
      <c r="I431" s="4">
        <f>100-100*H431/B431</f>
        <v>2.26842506978643</v>
      </c>
      <c r="K431" s="4">
        <v>2</v>
      </c>
      <c r="L431" s="7">
        <v>45125.375</v>
      </c>
      <c r="M431" s="8">
        <v>1075</v>
      </c>
      <c r="N431"/>
      <c r="O431"/>
      <c r="P431"/>
      <c r="Q431"/>
      <c r="R431"/>
      <c r="S431" t="s">
        <v>1274</v>
      </c>
      <c r="T431" t="str">
        <f>_xlfn.DISPIMG("ID_7CFD3D00FB5F4930830C4CD282BB90A8",1)</f>
        <v>=DISPIMG("ID_7CFD3D00FB5F4930830C4CD282BB90A8",1)</v>
      </c>
      <c r="U431" s="13" t="s">
        <v>1084</v>
      </c>
      <c r="V431" s="5" t="s">
        <v>581</v>
      </c>
      <c r="W431"/>
      <c r="X431"/>
    </row>
    <row r="432" customHeight="1" spans="1:24">
      <c r="A432" s="117" t="s">
        <v>1275</v>
      </c>
      <c r="B432" s="4">
        <v>9044595.74</v>
      </c>
      <c r="C432" s="4">
        <v>8467127.29</v>
      </c>
      <c r="D432" s="4">
        <v>0.3</v>
      </c>
      <c r="F432" s="4">
        <f>(H432/B432-D432)/(1-D432)</f>
        <v>0.976565456597337</v>
      </c>
      <c r="G432" s="4">
        <f>100-100*F432</f>
        <v>2.34345434026628</v>
      </c>
      <c r="H432" s="4">
        <v>8896226.56</v>
      </c>
      <c r="I432" s="4">
        <f>100-100*H432/B432</f>
        <v>1.64041803818641</v>
      </c>
      <c r="K432" s="4">
        <v>1.8</v>
      </c>
      <c r="L432" s="7">
        <v>45125.375</v>
      </c>
      <c r="M432" s="8">
        <v>1072</v>
      </c>
      <c r="N432"/>
      <c r="O432"/>
      <c r="P432"/>
      <c r="Q432"/>
      <c r="R432"/>
      <c r="S432" t="s">
        <v>1276</v>
      </c>
      <c r="T432" t="str">
        <f>_xlfn.DISPIMG("ID_7CFD3D00FB5F4930830C4CD282BB90A8",1)</f>
        <v>=DISPIMG("ID_7CFD3D00FB5F4930830C4CD282BB90A8",1)</v>
      </c>
      <c r="U432" s="13" t="s">
        <v>1084</v>
      </c>
      <c r="V432" s="5" t="s">
        <v>581</v>
      </c>
      <c r="W432"/>
      <c r="X432"/>
    </row>
    <row r="433" customHeight="1" spans="1:24">
      <c r="A433" s="3" t="s">
        <v>1277</v>
      </c>
      <c r="B433" s="4">
        <v>4790267.67</v>
      </c>
      <c r="C433" s="4">
        <v>4724885.36</v>
      </c>
      <c r="D433" s="4">
        <v>0.1</v>
      </c>
      <c r="F433" s="4">
        <f>(H433/B433-D433)/(1-D433)</f>
        <v>0.984685256174375</v>
      </c>
      <c r="G433" s="4">
        <f>100-100*F433</f>
        <v>1.53147438256246</v>
      </c>
      <c r="H433" s="4">
        <v>4724242.12</v>
      </c>
      <c r="I433" s="4">
        <f>100-100*H433/B433</f>
        <v>1.37832694430622</v>
      </c>
      <c r="K433" s="4">
        <v>3.6</v>
      </c>
      <c r="L433" s="7">
        <v>45127.4583333333</v>
      </c>
      <c r="M433" s="8">
        <v>683</v>
      </c>
      <c r="N433"/>
      <c r="O433"/>
      <c r="P433"/>
      <c r="Q433"/>
      <c r="R433"/>
      <c r="S433" t="s">
        <v>1278</v>
      </c>
      <c r="T433" t="str">
        <f>_xlfn.DISPIMG("ID_4D38827BD4E4438785BD8FD3EDAAB318",1)</f>
        <v>=DISPIMG("ID_4D38827BD4E4438785BD8FD3EDAAB318",1)</v>
      </c>
      <c r="U433" s="13" t="s">
        <v>819</v>
      </c>
      <c r="V433" s="5" t="s">
        <v>581</v>
      </c>
      <c r="W433"/>
      <c r="X433"/>
    </row>
    <row r="434" customHeight="1" spans="1:24">
      <c r="A434" s="3" t="s">
        <v>1279</v>
      </c>
      <c r="B434" s="4">
        <v>5012042.1</v>
      </c>
      <c r="C434" s="4">
        <v>4957573.38</v>
      </c>
      <c r="D434" s="4">
        <v>0.1</v>
      </c>
      <c r="E434" s="4"/>
      <c r="F434" s="4">
        <f>(H434/B434-D434)/(1-D434)</f>
        <v>0.987768103987439</v>
      </c>
      <c r="G434" s="4">
        <f>100-100*F434</f>
        <v>1.2231896012561</v>
      </c>
      <c r="H434" s="4">
        <v>4956866</v>
      </c>
      <c r="I434" s="4">
        <f>100-100*H434/B434</f>
        <v>1.10087064113048</v>
      </c>
      <c r="K434" s="4">
        <v>1.4</v>
      </c>
      <c r="L434" s="7">
        <v>45127.4791666667</v>
      </c>
      <c r="M434" s="8">
        <v>683</v>
      </c>
      <c r="N434"/>
      <c r="O434"/>
      <c r="P434"/>
      <c r="Q434"/>
      <c r="R434"/>
      <c r="S434" t="s">
        <v>1280</v>
      </c>
      <c r="T434" t="str">
        <f>_xlfn.DISPIMG("ID_4D38827BD4E4438785BD8FD3EDAAB318",1)</f>
        <v>=DISPIMG("ID_4D38827BD4E4438785BD8FD3EDAAB318",1)</v>
      </c>
      <c r="U434" s="13" t="s">
        <v>819</v>
      </c>
      <c r="V434" s="5" t="s">
        <v>581</v>
      </c>
      <c r="W434" s="20" t="s">
        <v>1281</v>
      </c>
      <c r="X434"/>
    </row>
    <row r="435" customHeight="1" spans="1:22">
      <c r="A435" s="134" t="s">
        <v>1282</v>
      </c>
      <c r="B435" s="4">
        <v>91460369.52</v>
      </c>
      <c r="C435" s="135">
        <v>84336404.46</v>
      </c>
      <c r="D435" s="4">
        <v>0.5</v>
      </c>
      <c r="E435" s="4"/>
      <c r="F435" s="4">
        <f>(H435/B435-D435)/(1-D435)</f>
        <v>0.908523926549734</v>
      </c>
      <c r="G435" s="4">
        <f>100-100*F435</f>
        <v>9.1476073450266</v>
      </c>
      <c r="H435" s="136">
        <v>87277151.78</v>
      </c>
      <c r="I435" s="4">
        <f>100-100*H435/B435</f>
        <v>4.57380367251331</v>
      </c>
      <c r="K435" s="4">
        <v>1.72</v>
      </c>
      <c r="L435" s="7">
        <v>45128.3541666667</v>
      </c>
      <c r="M435" s="8">
        <v>71</v>
      </c>
      <c r="N435" s="13"/>
      <c r="O435" s="13"/>
      <c r="P435" s="13"/>
      <c r="Q435" s="13"/>
      <c r="R435" s="13"/>
      <c r="S435" s="13" t="s">
        <v>1283</v>
      </c>
      <c r="T435" t="str">
        <f>_xlfn.DISPIMG("ID_551AB00842DD4707AE7EFED2FE04BA86",1)</f>
        <v>=DISPIMG("ID_551AB00842DD4707AE7EFED2FE04BA86",1)</v>
      </c>
      <c r="U435" s="13" t="s">
        <v>1057</v>
      </c>
      <c r="V435" s="5" t="s">
        <v>581</v>
      </c>
    </row>
    <row r="436" customHeight="1" spans="1:22">
      <c r="A436" s="137" t="s">
        <v>1284</v>
      </c>
      <c r="B436" s="4">
        <v>4096600</v>
      </c>
      <c r="C436" s="4"/>
      <c r="D436" s="4">
        <v>99.6</v>
      </c>
      <c r="H436" s="137">
        <v>3838637.1</v>
      </c>
      <c r="I436" s="4">
        <f>100-100*H436/B436</f>
        <v>6.29699995117903</v>
      </c>
      <c r="K436" s="4">
        <v>8.34</v>
      </c>
      <c r="L436" s="7">
        <v>45131.4166666667</v>
      </c>
      <c r="M436" s="8">
        <v>79</v>
      </c>
      <c r="S436" s="13" t="s">
        <v>1285</v>
      </c>
      <c r="T436" t="str">
        <f>_xlfn.DISPIMG("ID_B45AC5B0931F41358AA01BD5585B5788",1)</f>
        <v>=DISPIMG("ID_B45AC5B0931F41358AA01BD5585B5788",1)</v>
      </c>
      <c r="U436" t="s">
        <v>119</v>
      </c>
      <c r="V436" s="137" t="s">
        <v>510</v>
      </c>
    </row>
    <row r="437" customHeight="1" spans="1:22">
      <c r="A437" s="134" t="s">
        <v>1286</v>
      </c>
      <c r="B437" s="138">
        <v>21107271.18</v>
      </c>
      <c r="C437" s="139">
        <v>20326302.15</v>
      </c>
      <c r="D437" s="4">
        <f>AVERAGE(O437:Q437)</f>
        <v>3.7</v>
      </c>
      <c r="H437" s="139">
        <v>20051905.84</v>
      </c>
      <c r="I437" s="4">
        <f>100-100*H437/B437</f>
        <v>5.00000843785057</v>
      </c>
      <c r="K437" s="4">
        <v>5.6</v>
      </c>
      <c r="L437" s="7">
        <v>45134.4583333333</v>
      </c>
      <c r="M437" s="8">
        <v>3</v>
      </c>
      <c r="N437" s="13">
        <v>3</v>
      </c>
      <c r="O437" s="13">
        <v>3.3</v>
      </c>
      <c r="P437" s="13">
        <v>0.8</v>
      </c>
      <c r="Q437" s="13">
        <v>7</v>
      </c>
      <c r="S437" s="13" t="s">
        <v>1287</v>
      </c>
      <c r="T437" t="str">
        <f>_xlfn.DISPIMG("ID_39A08211ED6A4076AB89912F4CD96E32",1)</f>
        <v>=DISPIMG("ID_39A08211ED6A4076AB89912F4CD96E32",1)</v>
      </c>
      <c r="U437" s="66" t="s">
        <v>1288</v>
      </c>
      <c r="V437" s="134" t="s">
        <v>1289</v>
      </c>
    </row>
    <row r="438" customHeight="1" spans="1:23">
      <c r="A438" s="134" t="s">
        <v>1290</v>
      </c>
      <c r="B438" s="4">
        <v>23872646.41</v>
      </c>
      <c r="C438" s="140">
        <v>22690258.95</v>
      </c>
      <c r="D438" s="4">
        <f>AVERAGEA(O438:Q438)</f>
        <v>3.83333333333333</v>
      </c>
      <c r="E438" s="4">
        <f>R438</f>
        <v>0.5</v>
      </c>
      <c r="F438" s="4">
        <f>22422193.86/B438</f>
        <v>0.939242071235453</v>
      </c>
      <c r="G438" s="4">
        <f>100-100*F438</f>
        <v>6.07579287645471</v>
      </c>
      <c r="H438" s="140">
        <v>22688252.8</v>
      </c>
      <c r="I438" s="4">
        <f>100-100*H438/B438</f>
        <v>4.96130001533416</v>
      </c>
      <c r="K438" s="141">
        <v>7.46</v>
      </c>
      <c r="L438" s="7">
        <v>45138.3958333333</v>
      </c>
      <c r="M438" s="8">
        <v>160</v>
      </c>
      <c r="N438" s="13">
        <v>3</v>
      </c>
      <c r="O438" s="13">
        <v>3.5</v>
      </c>
      <c r="P438" s="13">
        <v>1.8</v>
      </c>
      <c r="Q438" s="13">
        <v>6.2</v>
      </c>
      <c r="R438" s="13">
        <v>0.5</v>
      </c>
      <c r="S438" s="13" t="s">
        <v>1291</v>
      </c>
      <c r="T438" s="13" t="str">
        <f>_xlfn.DISPIMG("ID_EE563D7C5E3E42438E4C67A657B12613",1)</f>
        <v>=DISPIMG("ID_EE563D7C5E3E42438E4C67A657B12613",1)</v>
      </c>
      <c r="U438" s="13" t="s">
        <v>1066</v>
      </c>
      <c r="V438" s="134" t="s">
        <v>506</v>
      </c>
      <c r="W438" s="134" t="s">
        <v>1292</v>
      </c>
    </row>
  </sheetData>
  <autoFilter ref="A1:X439">
    <sortState ref="A2:X439">
      <sortCondition ref="L2:L434"/>
    </sortState>
    <extLst/>
  </autoFilter>
  <sortState ref="A2:X438">
    <sortCondition ref="L2:L438"/>
  </sortState>
  <conditionalFormatting sqref="N1:X1">
    <cfRule type="duplicateValues" dxfId="0" priority="8"/>
  </conditionalFormatting>
  <hyperlinks>
    <hyperlink ref="S2" r:id="rId1" display="https://ggj.chizhou.gov.cn/front/bidcontent/9005001004/7cb3898959644f8a8a2b55d4f608376c"/>
    <hyperlink ref="S3" r:id="rId2" display="https://ggj.chizhou.gov.cn/front/bidcontent/9005001004/7833d1771fc1401794b4fbb592bae93c"/>
    <hyperlink ref="S4" r:id="rId3" display="https://ggj.chizhou.gov.cn/front/bidcontent/9005001004/db387280c584483eb0b6b889c1789819"/>
    <hyperlink ref="S5" r:id="rId4" display="https://ggj.chizhou.gov.cn/front/bidcontent/9005001004/c86e956e9d2e4a1999cc42cd73f3c6d2"/>
    <hyperlink ref="S7" r:id="rId5" display="https://ggj.chizhou.gov.cn/front/bidcontent/9005001004/a78c6f6e2e0c41ddb54da8935e9f9332"/>
    <hyperlink ref="S8" r:id="rId6" display="https://ggj.chizhou.gov.cn/front/bidcontent/9005001004/da86ab0707a64463a8777fc60c4c8107"/>
    <hyperlink ref="S9" r:id="rId7" display="https://ggj.chizhou.gov.cn/front/bidcontent/9005001004/a74fb539ab8e46c983efd8e1081782a0"/>
    <hyperlink ref="S10" r:id="rId8" display="https://ggj.chizhou.gov.cn/front/bidcontent/9005001004/cc231260ec9a4651b9152c1e3846e449"/>
    <hyperlink ref="S205" r:id="rId9" display="https://ggj.chizhou.gov.cn/front/bidcontent/9005001004/866d6c15d7bd4e20a03037752370442a"/>
    <hyperlink ref="S206" r:id="rId10" display="https://ggj.chizhou.gov.cn/front/bidcontent/9005001004/a9295cf82dde42e585dc65c05201efed"/>
    <hyperlink ref="S207" r:id="rId11" display="https://ggj.chizhou.gov.cn/front/bidcontent/9005001004/4ae81a26a1a8464b9aa80042228c3e76"/>
    <hyperlink ref="S210" r:id="rId12" display="https://ggj.chizhou.gov.cn/front/bidcontent/9005001004/91490b657ef148ac980cea14fc66e4c3"/>
    <hyperlink ref="S211" r:id="rId13" display="https://ggj.chizhou.gov.cn/front/bidcontent/9005001004/e2b6f2e0342242a59723d2ff04673eed"/>
    <hyperlink ref="S221" r:id="rId14" display="https://ggj.chizhou.gov.cn/front/bidcontent/9005001004/50e9a20e6b3241e8861ef95330c05e0a"/>
    <hyperlink ref="S217" r:id="rId15" display="https://ggj.chizhou.gov.cn/front/bidcontent/9005001004/bdf76aee46c94347ba5912fc98098b9c"/>
    <hyperlink ref="S218" r:id="rId16" display="https://ggj.chizhou.gov.cn/front/bidcontent/9005001004/2aee03f4781f47219557e7bbb72820c6"/>
    <hyperlink ref="S216" r:id="rId17" display="https://ggj.chizhou.gov.cn/front/bidcontent/9005001004/316190a3bbb64756b82211865922ae3c"/>
    <hyperlink ref="S215" r:id="rId18" display="https://ggj.chizhou.gov.cn/front/bidcontent/9005001004/dfe7ffac1e8a49b09d53ac0a3432d6a6"/>
    <hyperlink ref="S219" r:id="rId19" display="https://ggj.chizhou.gov.cn/front/bidcontent/9005001004/c84864e77a28422cb1a2314105d826de"/>
    <hyperlink ref="S222" r:id="rId20" display="https://ggj.chizhou.gov.cn/front/bidcontent/9005001004/0e2662233c704bbf9cddfdcd8c9426ca"/>
    <hyperlink ref="S223" r:id="rId21" display="https://ggj.chizhou.gov.cn/front/bidcontent/9005001004/11f267c0245d4c368cbb43707262f12e"/>
    <hyperlink ref="S224" r:id="rId22" display="https://ggj.chizhou.gov.cn/front/bidcontent/9005001004/4d42cd0e4928481aa35451b9b75e0ce3"/>
    <hyperlink ref="S232" r:id="rId23" display="https://ggj.chizhou.gov.cn/front/bidcontent/9005001004/65144d4e4df64ab985cc0b04e79abd42"/>
    <hyperlink ref="S230" r:id="rId24" display="https://ggj.chizhou.gov.cn/front/bidcontent/9005001004/4b7f3a608741460caefc25354e17b954"/>
    <hyperlink ref="S235" r:id="rId25" display="https://ggj.chizhou.gov.cn/front/bidcontent/9005001004/5ca2528d11054aff8fc2ebb107f6f51c"/>
    <hyperlink ref="S267" r:id="rId26" display="https://ggj.chizhou.gov.cn/front/bidcontent/9005001004/6b75dc75e9a147ff9814be9dd5a192a2"/>
    <hyperlink ref="S270" r:id="rId27" display="https://ggj.chizhou.gov.cn/front/bidcontent/9005001004/a797537dc7c04e07b608e7c4e8b94509"/>
    <hyperlink ref="S347" r:id="rId28" display="https://ggj.chizhou.gov.cn/front/bidcontent/9005001004/023960edd7f5493c907e87afca6d852b"/>
    <hyperlink ref="S377" r:id="rId29" display="https://ggj.chizhou.gov.cn/front/bidcontent/9005001004/d50e1573c3fa48b5af436ae3f222136b"/>
    <hyperlink ref="S376" r:id="rId30" display="https://ggj.chizhou.gov.cn/front/bidcontent/9005001004/1c4758c9aba440e5967703660d98d285"/>
    <hyperlink ref="S378" r:id="rId31" display="https://ggj.chizhou.gov.cn/front/bidcontent/9005001004/56a685e74747480097198e30a71b4bc5"/>
    <hyperlink ref="S410" r:id="rId32" display="https://ggj.chizhou.gov.cn/front/bidcontent/9005001004/a855150563ae4e4abc215365f285e846"/>
    <hyperlink ref="S366" r:id="rId33" display="https://ggj.chizhou.gov.cn/front/bidcontent/9005001004/9f6e551c6578420bb15a4fd1382dd97d"/>
    <hyperlink ref="S331" r:id="rId34" display="https://ggj.chizhou.gov.cn/front/bidcontent/9005001004/43190a9e52cb4de99524216f35cb0b63"/>
    <hyperlink ref="S298" r:id="rId35" display="https://ggj.chizhou.gov.cn/front/bidcontent/9005001004/80903eeb705147c9a08710ceec95fe05"/>
    <hyperlink ref="S312" r:id="rId36" display="https://ggj.chizhou.gov.cn/front/bidcontent/9005001004/de92d969c2b74e26b75d721edb53ae0d"/>
    <hyperlink ref="S208" r:id="rId37" display="https://ggj.chizhou.gov.cn/front/bidcontent/9005001004/fc73f1d6db0e46b780d025c19d9b18f1"/>
    <hyperlink ref="S421" r:id="rId38" display="https://ggj.chizhou.gov.cn/front/bidcontent/9005001004/a3bb98e4d9e5434ca6df7a2020da2240"/>
    <hyperlink ref="S411" r:id="rId39" display="https://ggj.chizhou.gov.cn/front/bidcontent/9005001004/3e65311785b34cbb8cb79c51b09f8215"/>
    <hyperlink ref="S409" r:id="rId40" display="https://ggj.chizhou.gov.cn/front/bidcontent/9005001004/d1a07f5619af40f49cfd0f8fe067ce5d"/>
    <hyperlink ref="S406" r:id="rId41" display="https://ggj.chizhou.gov.cn/front/bidcontent/9005001004/ac4187e7c00e4179b90b0a6064c64bf8"/>
    <hyperlink ref="S400" r:id="rId42" display="https://ggj.chizhou.gov.cn/front/bidcontent/9005001004/697f08906cb6482594b960ad374230ba"/>
    <hyperlink ref="S384" r:id="rId43" display="https://ggj.chizhou.gov.cn/front/bidcontent/9005001004/e879a800fa794c8c80fd6f70b1b81e85"/>
    <hyperlink ref="S381" r:id="rId44" display="https://ggj.chizhou.gov.cn/front/bidcontent/9005001004/d67ac7a6df8e4e78924ebc556acfcac0"/>
    <hyperlink ref="S364" r:id="rId45" display="https://ggj.chizhou.gov.cn/front/bidcontent/9005001004/d6ff53d4d55d4c0cb85f526692729752"/>
    <hyperlink ref="S362" r:id="rId46" display="https://ggj.chizhou.gov.cn/front/bidcontent/9005001004/baae982084b9440b910b086993caa5b0"/>
    <hyperlink ref="S361" r:id="rId47" display="https://ggj.chizhou.gov.cn/front/bidcontent/9005001004/030e3fe1d863484da8df1f924627cec6"/>
    <hyperlink ref="S352" r:id="rId48" display="https://ggj.chizhou.gov.cn/front/bidcontent/9005001004/f9cd002055084485b02b703b75e9137c"/>
    <hyperlink ref="S346" r:id="rId49" display="https://ggj.chizhou.gov.cn/front/bidcontent/9005001004/142f2d5ea17047b48a819f8c62eaa9da"/>
    <hyperlink ref="S339" r:id="rId50" display="https://ggj.chizhou.gov.cn/front/bidcontent/9005001004/139ffde044874caf8d4811f8aaf30ba8"/>
    <hyperlink ref="S337" r:id="rId51" display="https://ggj.chizhou.gov.cn/front/bidcontent/9005001004/4a7f9da16b4d49ef861249b18045c156"/>
    <hyperlink ref="S332" r:id="rId52" display="https://ggj.chizhou.gov.cn/front/bidcontent/9005001004/bc3baa4137944a3c893e4ce64279ec3c"/>
    <hyperlink ref="S324" r:id="rId53" display="https://ggj.chizhou.gov.cn/front/bidcontent/9005001004/25ce3a3ceb3048afbdb3f57057eea4d6"/>
    <hyperlink ref="S328" r:id="rId54" display="https://ggj.chizhou.gov.cn/front/bidcontent/9005001004/b9ed18da1a2141caad9a1e96c88f84ca"/>
    <hyperlink ref="S327" r:id="rId55" display="https://ggj.chizhou.gov.cn/front/bidcontent/9005001004/712d09b120c545d88907559da51085fd"/>
    <hyperlink ref="S150" r:id="rId56" display="https://ggj.chizhou.gov.cn/front/bidcontent/9005001004/0260929f7ebf4787b85a88bd031237f6"/>
    <hyperlink ref="S326" r:id="rId57" display="https://ggj.chizhou.gov.cn/front/bidcontent/9005001004/46643cdaa14249e6b6951856db9cb92c"/>
    <hyperlink ref="S321" r:id="rId58" display="https://ggj.chizhou.gov.cn/front/bidcontent/9005001004/d16188105f7740a2aa2c070a10c762da"/>
    <hyperlink ref="S318" r:id="rId59" display="https://ggj.chizhou.gov.cn/front/bidcontent/9005001004/1b0e64b4a12d444f955b57648bc8311e"/>
    <hyperlink ref="S317" r:id="rId60" display="https://ggj.chizhou.gov.cn/front/bidcontent/9005001004/65953e9aec914812b46c97454b361c7d"/>
    <hyperlink ref="S311" r:id="rId61" display="https://ggj.chizhou.gov.cn/front/bidcontent/9005001004/be105ab4080a450fa054e4dd747ed14d"/>
    <hyperlink ref="S310" r:id="rId62" display="https://ggj.chizhou.gov.cn/front/bidcontent/9005001004/088faf6b90424a4594d632998e9fe3d5"/>
    <hyperlink ref="S307" r:id="rId63" display="https://ggj.chizhou.gov.cn/front/bidcontent/9005001004/0504e778e6114b86a4399e397eae989e"/>
    <hyperlink ref="S291" r:id="rId64" display="https://ggj.chizhou.gov.cn/front/bidcontent/9005001004/2f58e806f0f0424d83497c5400a694ed"/>
    <hyperlink ref="S285" r:id="rId65" display="https://ggj.chizhou.gov.cn/front/bidcontent/9005001004/7008edc535754ec4aed1c3cac80bd7ac"/>
    <hyperlink ref="S227" r:id="rId66" display="https://ggj.chizhou.gov.cn/front/bidcontent/9005001004/a08c82520bdb4b5381aaf2b19fc84418"/>
    <hyperlink ref="S226" r:id="rId67" display="https://ggj.chizhou.gov.cn/front/bidcontent/9005001004/aa44cceba2784cd79cefc04dfe6fdcf0"/>
    <hyperlink ref="S244" r:id="rId68" display="https://ggj.chizhou.gov.cn/front/bidcontent/9005001004/73dca2d371d14bcf981b3886c30d9511"/>
    <hyperlink ref="S246" r:id="rId69" display="https://ggj.chizhou.gov.cn/front/bidcontent/9005001004/d30282a1bc934ac5bf453184309aa9cc"/>
    <hyperlink ref="S239" r:id="rId70" display="https://ggj.chizhou.gov.cn/front/bidcontent/9005001004/b6e6b3fab6a548bda57773b03918dc6d"/>
    <hyperlink ref="S260" r:id="rId71" display="https://ggj.chizhou.gov.cn/front/bidcontent/9005001004/1b73ea3e16234af8aa54e4cee4bd33c2"/>
    <hyperlink ref="S259" r:id="rId72" display="https://ggj.chizhou.gov.cn/front/bidcontent/9005001004/9f838105932d4657b83f6815949376ae"/>
    <hyperlink ref="S273" r:id="rId73" display="https://ggj.chizhou.gov.cn/front/bidcontent/9005001004/2367365576684e49ba957a40e717b6fb"/>
    <hyperlink ref="S392" r:id="rId74" display="https://ggj.chizhou.gov.cn/front/bidcontent/9005001004/f54ce8ecd0874b92ac6a49b26c640ca9" tooltip="https://ggj.chizhou.gov.cn/front/bidcontent/9005001004/f54ce8ecd0874b92ac6a49b26c640ca9"/>
    <hyperlink ref="S236" r:id="rId75" display="https://ggj.chizhou.gov.cn/front/bidcontent/9005001004/f3063364cf4543a79966aa3d75a3c08b"/>
    <hyperlink ref="S294" r:id="rId76" display="https://ggj.chizhou.gov.cn/front/bidcontent/9005001004/0605163ca36f4c639bd1f4bba6347b33"/>
    <hyperlink ref="S357" r:id="rId77" display="https://ggj.chizhou.gov.cn/front/bidcontent/9005001004/6fa07b28bf514d05aa9cb9b0024755df"/>
    <hyperlink ref="S360" r:id="rId78" display="https://ggj.chizhou.gov.cn/front/bidcontent/9005001004/ddfef1b93e724a329bb8b7fe9ba18ad1"/>
    <hyperlink ref="S389" r:id="rId79" display="https://ggj.chizhou.gov.cn/front/bidcontent/9005001004/050487e6cfb845f2a38d5748fe340453"/>
    <hyperlink ref="S372" r:id="rId80" display="https://ggj.chizhou.gov.cn/front/bidcontent/9005001004/8d2e8cdb392a4cab871af92b68ef98b1"/>
    <hyperlink ref="S249" r:id="rId81" display="https://ggj.chizhou.gov.cn/front/bidcontent/9005001004/686e7d3f75144395813cb5d29b5b4e12"/>
    <hyperlink ref="S305" r:id="rId82" display="https://ggj.chizhou.gov.cn/front/bidcontent/9005001004/d35fa9eb07ac4134832ea8e94833b01e"/>
    <hyperlink ref="S262" r:id="rId83" display="https://ggj.chizhou.gov.cn/front/bidcontent/9005001004/1d872d99e8474719a72c72ccf627dcd2"/>
    <hyperlink ref="S287" r:id="rId84" display="https://ggj.chizhou.gov.cn/front/bidcontent/9005001004/2fe5ded1189a43158a3be80840287b3c"/>
    <hyperlink ref="S316" r:id="rId85" display="https://ggj.chizhou.gov.cn/front/bidcontent/9005001004/9340a2477d28403eaaba745d51063ce9"/>
    <hyperlink ref="S371" r:id="rId86" display="https://ggj.chizhou.gov.cn/front/bidcontent/9005001004/68301d3174394a29b1b6dfcf1ea9b563"/>
    <hyperlink ref="S268" r:id="rId87" display="https://ggj.chizhou.gov.cn/front/bidcontent/9005001004/73f908b482bf4f45a8076914a69c05e1"/>
    <hyperlink ref="S308" r:id="rId88" display="https://ggj.chizhou.gov.cn/front/bidcontent/9005001004/f9ac9aa7143a485cb950fac0b1cc7f3a"/>
    <hyperlink ref="S306" r:id="rId89" display="https://ggj.chizhou.gov.cn/front/bidcontent/9005001004/ee37470372254ffda98f6b4c9cad590e"/>
    <hyperlink ref="S28" r:id="rId90" display="https://ggj.chizhou.gov.cn/front/bidcontent/9005001004/e5fe54f0749042ef8d178ef9c3c14029"/>
    <hyperlink ref="S61" r:id="rId91" display="https://ggj.chizhou.gov.cn/front/bidcontent/9005001004/abecd74c6e574474a75b972ff7515253"/>
    <hyperlink ref="S103" r:id="rId92" display="https://ggj.chizhou.gov.cn/front/bidcontent/9005001004/b52748ebf6dc453187e408424974b9b0"/>
    <hyperlink ref="S124" r:id="rId93" display="https://ggj.chizhou.gov.cn/front/bidcontent/9005001004/29c1f83605a0425f8161b5f22dfb0e77"/>
    <hyperlink ref="S121" r:id="rId94" display="https://ggj.chizhou.gov.cn/front/bidcontent/9005001004/7fa7634ec28348ee8ae6be172548ffde"/>
    <hyperlink ref="S138" r:id="rId95" display="https://ggj.chizhou.gov.cn/front/bidcontent/9005001004/b0dabebc056f49989668e6798b972bb5"/>
    <hyperlink ref="S152" r:id="rId96" display="https://ggj.chizhou.gov.cn/front/bidcontent/9005001004/a5c5ccdabbc64165a8be42bd12dc8445"/>
    <hyperlink ref="S185" r:id="rId97" display="https://ggj.chizhou.gov.cn/front/bidcontent/9005001004/6ba6d9d3b3c94015b99b151db6648f49"/>
    <hyperlink ref="S11" r:id="rId98" display="https://ggj.chizhou.gov.cn/front/bidcontent/9005001004/f978278fe8ba435abaf65564c0756ff2"/>
    <hyperlink ref="S253" r:id="rId99" display="https://ggj.chizhou.gov.cn/front/bidcontent/9005001004/543d3d209dc6486694802dc0b3a8b5ec"/>
    <hyperlink ref="S265" r:id="rId100" display="https://ggj.chizhou.gov.cn/front/bidcontent/9005001004/6f707b01f8914954a080f2f73d073ffb"/>
    <hyperlink ref="S33" r:id="rId101" display="https://ggj.chizhou.gov.cn/front/bidcontent/9005001004/d97f434a9a5141e9b7bb866c296a6947"/>
    <hyperlink ref="S184" r:id="rId102" display="https://ggj.chizhou.gov.cn/front/bidcontent/9005001004/10250cd2938e40f08c3c8a1929d06bb7"/>
    <hyperlink ref="S213" r:id="rId103" display="https://ggj.chizhou.gov.cn/front/bidcontent/9005001004/1b21ec41ad034442899cb00ea97a2df7"/>
    <hyperlink ref="S97" r:id="rId104" display="https://ggj.chizhou.gov.cn/front/bidcontent/9005001004/592aa2f1b7c7445c98d42ab517b48e08"/>
    <hyperlink ref="S23" r:id="rId105" display="https://ggj.chizhou.gov.cn/front/bidcontent/9005001004/62fc6715057046179cbf1c2e3cabac19"/>
    <hyperlink ref="S130" r:id="rId106" display="https://ggj.chizhou.gov.cn/front/bidcontent/9005001004/1e80385bd70640f79f9786755a65b16f"/>
    <hyperlink ref="S59" r:id="rId107" display="https://ggj.chizhou.gov.cn/front/bidcontent/9005001004/f787d530981e43f6ae62654c8de4cf98"/>
    <hyperlink ref="S136" r:id="rId108" display="https://ggj.chizhou.gov.cn/front/bidcontent/9005001004/98cdd50fd9de472e8e042c2bd8ad5cd9"/>
    <hyperlink ref="S22" r:id="rId109" display="https://ggj.chizhou.gov.cn/front/bidcontent/9005001004/55cbceaf6b844882aa045582fd5e2099"/>
    <hyperlink ref="S51" r:id="rId110" display="https://ggj.chizhou.gov.cn/front/bidcontent/9005001004/959ba7af83724e79a8aee704ffd44ba5"/>
    <hyperlink ref="S54" r:id="rId111" display="https://ggj.chizhou.gov.cn/front/bidcontent/9005001004/76ce62242ab745d7a043bd28bd4ecbc0"/>
    <hyperlink ref="S26" r:id="rId112" display="https://ggj.chizhou.gov.cn/front/bidcontent/9005001004/239d106afce84a1ba814847227562404"/>
  </hyperlink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44"/>
  <sheetViews>
    <sheetView workbookViewId="0">
      <pane ySplit="1" topLeftCell="A33" activePane="bottomLeft" state="frozen"/>
      <selection/>
      <selection pane="bottomLeft" activeCell="A50" sqref="A50"/>
    </sheetView>
  </sheetViews>
  <sheetFormatPr defaultColWidth="9" defaultRowHeight="28" customHeight="1"/>
  <cols>
    <col min="1" max="1" width="49.125" customWidth="1"/>
    <col min="2" max="3" width="20.25" style="94" customWidth="1"/>
    <col min="4" max="4" width="8.625" style="94" customWidth="1"/>
    <col min="5" max="7" width="7.625" style="94" customWidth="1"/>
    <col min="8" max="9" width="18.5" style="94" customWidth="1"/>
    <col min="10" max="10" width="16.5" style="94" customWidth="1"/>
    <col min="11" max="11" width="6.375" style="94" customWidth="1"/>
    <col min="12" max="12" width="20.625" customWidth="1"/>
    <col min="13" max="18" width="8.875" customWidth="1"/>
    <col min="19" max="19" width="26" customWidth="1"/>
    <col min="20" max="20" width="26.5" customWidth="1"/>
    <col min="21" max="21" width="15.325" customWidth="1"/>
    <col min="22" max="23" width="12.5"/>
  </cols>
  <sheetData>
    <row r="1" s="91" customFormat="1" customHeight="1" spans="1:22">
      <c r="A1" s="91" t="s">
        <v>0</v>
      </c>
      <c r="B1" s="95" t="s">
        <v>1</v>
      </c>
      <c r="C1" s="96" t="s">
        <v>2</v>
      </c>
      <c r="D1" s="96" t="s">
        <v>3</v>
      </c>
      <c r="E1" s="96" t="s">
        <v>1293</v>
      </c>
      <c r="F1" s="16" t="s">
        <v>5</v>
      </c>
      <c r="G1" s="16" t="s">
        <v>6</v>
      </c>
      <c r="H1" s="97" t="s">
        <v>7</v>
      </c>
      <c r="I1" s="97" t="s">
        <v>1294</v>
      </c>
      <c r="J1" s="97" t="s">
        <v>9</v>
      </c>
      <c r="K1" s="97" t="s">
        <v>1295</v>
      </c>
      <c r="L1" s="91" t="s">
        <v>11</v>
      </c>
      <c r="M1" s="91" t="s">
        <v>12</v>
      </c>
      <c r="N1" s="9" t="s">
        <v>13</v>
      </c>
      <c r="O1" s="9" t="s">
        <v>14</v>
      </c>
      <c r="P1" s="9" t="s">
        <v>15</v>
      </c>
      <c r="Q1" s="9" t="s">
        <v>16</v>
      </c>
      <c r="R1" s="9" t="s">
        <v>17</v>
      </c>
      <c r="S1" s="91" t="s">
        <v>18</v>
      </c>
      <c r="T1" s="91" t="s">
        <v>19</v>
      </c>
      <c r="U1" s="91" t="s">
        <v>1296</v>
      </c>
      <c r="V1" s="91" t="s">
        <v>22</v>
      </c>
    </row>
    <row r="2" customHeight="1" spans="1:21">
      <c r="A2" s="82" t="s">
        <v>1297</v>
      </c>
      <c r="B2" s="98">
        <v>6161607.38</v>
      </c>
      <c r="C2" s="24">
        <v>5856932.11</v>
      </c>
      <c r="D2" s="99"/>
      <c r="H2" s="100">
        <v>5855987.96</v>
      </c>
      <c r="I2" s="94">
        <f t="shared" ref="I2:I44" si="0">100-100*H2/B2</f>
        <v>4.9600599511097</v>
      </c>
      <c r="K2" s="94">
        <v>10</v>
      </c>
      <c r="L2" s="110">
        <v>45065.3958333333</v>
      </c>
      <c r="M2" s="111">
        <v>104</v>
      </c>
      <c r="N2" s="111">
        <v>4</v>
      </c>
      <c r="O2" s="111">
        <v>1.4</v>
      </c>
      <c r="P2" s="111">
        <v>3.2</v>
      </c>
      <c r="Q2" s="111">
        <v>8.5</v>
      </c>
      <c r="R2" s="111">
        <v>0.1</v>
      </c>
      <c r="S2" s="35" t="s">
        <v>1175</v>
      </c>
      <c r="T2" t="str">
        <f t="shared" ref="T2:T6" si="1">_xlfn.DISPIMG("ID_3A21167FE20244F68BDB5DDEBD3058E5",1)</f>
        <v>=DISPIMG("ID_3A21167FE20244F68BDB5DDEBD3058E5",1)</v>
      </c>
      <c r="U2" t="s">
        <v>1298</v>
      </c>
    </row>
    <row r="3" customHeight="1" spans="1:22">
      <c r="A3" s="101" t="s">
        <v>1299</v>
      </c>
      <c r="B3" s="102">
        <v>39000000</v>
      </c>
      <c r="D3" s="99"/>
      <c r="H3" s="98">
        <v>37070000</v>
      </c>
      <c r="I3" s="94">
        <f t="shared" si="0"/>
        <v>4.94871794871794</v>
      </c>
      <c r="K3" s="94">
        <v>5</v>
      </c>
      <c r="L3" s="110">
        <v>45106.375</v>
      </c>
      <c r="M3">
        <v>4</v>
      </c>
      <c r="S3" s="35" t="s">
        <v>1247</v>
      </c>
      <c r="T3" t="str">
        <f>_xlfn.DISPIMG("ID_9A093A59680C4B9CBB1AA0192D7DFDC4",1)</f>
        <v>=DISPIMG("ID_9A093A59680C4B9CBB1AA0192D7DFDC4",1)</v>
      </c>
      <c r="V3" t="s">
        <v>1248</v>
      </c>
    </row>
    <row r="4" customHeight="1" spans="1:21">
      <c r="A4" s="82" t="s">
        <v>1300</v>
      </c>
      <c r="B4" s="98">
        <v>4717817.08</v>
      </c>
      <c r="C4" s="98">
        <v>4491912.34</v>
      </c>
      <c r="D4" s="99">
        <f>AVERAGE(O4:Q4)</f>
        <v>3.23333333333333</v>
      </c>
      <c r="E4" s="94">
        <v>0.1</v>
      </c>
      <c r="H4" s="100">
        <v>4490887.24</v>
      </c>
      <c r="I4" s="94">
        <f t="shared" si="0"/>
        <v>4.81006016451998</v>
      </c>
      <c r="K4" s="94">
        <v>5.5</v>
      </c>
      <c r="L4" s="110">
        <v>45098.3958333333</v>
      </c>
      <c r="M4">
        <v>144</v>
      </c>
      <c r="N4" s="111">
        <v>3</v>
      </c>
      <c r="O4" s="111">
        <v>4.8</v>
      </c>
      <c r="P4" s="111">
        <v>1.6</v>
      </c>
      <c r="Q4" s="111">
        <v>3.3</v>
      </c>
      <c r="R4" s="111">
        <v>0.1</v>
      </c>
      <c r="S4" s="35" t="s">
        <v>1226</v>
      </c>
      <c r="T4" t="str">
        <f t="shared" si="1"/>
        <v>=DISPIMG("ID_3A21167FE20244F68BDB5DDEBD3058E5",1)</v>
      </c>
      <c r="U4" t="s">
        <v>1301</v>
      </c>
    </row>
    <row r="5" customHeight="1" spans="1:21">
      <c r="A5" s="82" t="s">
        <v>1302</v>
      </c>
      <c r="B5" s="98">
        <v>5864588.36</v>
      </c>
      <c r="D5" s="99">
        <v>9.07</v>
      </c>
      <c r="E5" s="94">
        <v>0.7</v>
      </c>
      <c r="H5" s="103">
        <v>5334984</v>
      </c>
      <c r="I5" s="94">
        <f t="shared" si="0"/>
        <v>9.03054617801001</v>
      </c>
      <c r="K5" s="94">
        <v>5</v>
      </c>
      <c r="L5" s="110">
        <v>45097.4583333333</v>
      </c>
      <c r="M5" s="111">
        <v>139</v>
      </c>
      <c r="N5" s="111"/>
      <c r="O5" s="111"/>
      <c r="P5" s="111"/>
      <c r="Q5" s="111"/>
      <c r="R5" s="111">
        <v>0.7</v>
      </c>
      <c r="S5" s="35" t="s">
        <v>1224</v>
      </c>
      <c r="T5" t="str">
        <f>_xlfn.DISPIMG("ID_18FCCD04C4334083B61DED274C4E5880",1)</f>
        <v>=DISPIMG("ID_18FCCD04C4334083B61DED274C4E5880",1)</v>
      </c>
      <c r="U5" t="s">
        <v>1301</v>
      </c>
    </row>
    <row r="6" customHeight="1" spans="1:22">
      <c r="A6" s="82" t="s">
        <v>1303</v>
      </c>
      <c r="B6" s="98">
        <v>4538189.42</v>
      </c>
      <c r="C6" s="100">
        <v>4323201.68</v>
      </c>
      <c r="D6" s="99">
        <f>AVERAGE(O6:Q6)</f>
        <v>4.73333333333333</v>
      </c>
      <c r="E6" s="94">
        <v>0.9</v>
      </c>
      <c r="H6" s="98">
        <v>4322729.79</v>
      </c>
      <c r="I6" s="94">
        <f t="shared" si="0"/>
        <v>4.74770024033064</v>
      </c>
      <c r="K6" s="94">
        <v>9.5</v>
      </c>
      <c r="L6" s="110">
        <v>45092.3958333333</v>
      </c>
      <c r="M6" s="111">
        <v>151</v>
      </c>
      <c r="N6" s="111">
        <v>4</v>
      </c>
      <c r="O6" s="111">
        <v>2.5</v>
      </c>
      <c r="P6" s="111">
        <v>8.5</v>
      </c>
      <c r="Q6" s="111">
        <v>3.2</v>
      </c>
      <c r="R6" s="111">
        <v>0.9</v>
      </c>
      <c r="S6" s="35" t="s">
        <v>1221</v>
      </c>
      <c r="T6" t="str">
        <f t="shared" si="1"/>
        <v>=DISPIMG("ID_3A21167FE20244F68BDB5DDEBD3058E5",1)</v>
      </c>
      <c r="U6" t="s">
        <v>1196</v>
      </c>
      <c r="V6" t="s">
        <v>1222</v>
      </c>
    </row>
    <row r="7" customHeight="1" spans="1:21">
      <c r="A7" s="82" t="s">
        <v>1304</v>
      </c>
      <c r="B7" s="98">
        <v>15705763.9</v>
      </c>
      <c r="C7" s="98">
        <v>15127270.65</v>
      </c>
      <c r="D7" s="99">
        <f t="shared" ref="D7:D16" si="2">AVERAGE(O7:Q7)</f>
        <v>2</v>
      </c>
      <c r="E7" s="94">
        <v>0.5</v>
      </c>
      <c r="H7" s="100">
        <v>15124316.68</v>
      </c>
      <c r="I7" s="94">
        <f t="shared" si="0"/>
        <v>3.70212632573701</v>
      </c>
      <c r="K7" s="94">
        <v>6</v>
      </c>
      <c r="L7" s="110">
        <v>45086.4583333333</v>
      </c>
      <c r="M7" s="111">
        <v>156</v>
      </c>
      <c r="N7" s="111">
        <v>1</v>
      </c>
      <c r="O7" s="111">
        <v>2.4</v>
      </c>
      <c r="P7" s="111">
        <v>3.1</v>
      </c>
      <c r="Q7" s="111">
        <v>0.5</v>
      </c>
      <c r="R7" s="111">
        <v>0.5</v>
      </c>
      <c r="S7" s="35" t="s">
        <v>1214</v>
      </c>
      <c r="T7" t="str">
        <f t="shared" ref="T7:T11" si="3">_xlfn.DISPIMG("ID_3A21167FE20244F68BDB5DDEBD3058E5",1)</f>
        <v>=DISPIMG("ID_3A21167FE20244F68BDB5DDEBD3058E5",1)</v>
      </c>
      <c r="U7" t="s">
        <v>1196</v>
      </c>
    </row>
    <row r="8" customHeight="1" spans="1:21">
      <c r="A8" s="82" t="s">
        <v>1305</v>
      </c>
      <c r="B8" s="98">
        <v>10757966.94</v>
      </c>
      <c r="C8" s="100">
        <v>10257587.62</v>
      </c>
      <c r="D8" s="99">
        <f t="shared" si="2"/>
        <v>3.66666666666667</v>
      </c>
      <c r="E8" s="94">
        <v>0.3</v>
      </c>
      <c r="H8" s="100">
        <v>10259399.72</v>
      </c>
      <c r="I8" s="94">
        <f t="shared" si="0"/>
        <v>4.63440000123293</v>
      </c>
      <c r="K8" s="94">
        <v>5</v>
      </c>
      <c r="L8" s="110">
        <v>45078.375</v>
      </c>
      <c r="M8" s="111">
        <v>143</v>
      </c>
      <c r="N8" s="111">
        <v>4</v>
      </c>
      <c r="O8" s="111">
        <v>3.2</v>
      </c>
      <c r="P8" s="111">
        <v>5.3</v>
      </c>
      <c r="Q8" s="111">
        <v>2.5</v>
      </c>
      <c r="R8" s="111">
        <v>0.3</v>
      </c>
      <c r="S8" s="35" t="s">
        <v>1195</v>
      </c>
      <c r="T8" t="str">
        <f t="shared" si="3"/>
        <v>=DISPIMG("ID_3A21167FE20244F68BDB5DDEBD3058E5",1)</v>
      </c>
      <c r="U8" t="s">
        <v>1196</v>
      </c>
    </row>
    <row r="9" customHeight="1" spans="1:21">
      <c r="A9" s="82" t="s">
        <v>1306</v>
      </c>
      <c r="B9" s="98">
        <v>5225436.38</v>
      </c>
      <c r="C9" s="100">
        <v>5035753.04</v>
      </c>
      <c r="D9" s="99">
        <f t="shared" si="2"/>
        <v>3.63333333333333</v>
      </c>
      <c r="H9" s="100">
        <v>5017986.55</v>
      </c>
      <c r="I9" s="94">
        <f t="shared" si="0"/>
        <v>3.97000010934971</v>
      </c>
      <c r="K9" s="94">
        <v>4.7</v>
      </c>
      <c r="L9" s="110">
        <v>45061.4583333333</v>
      </c>
      <c r="M9" s="111">
        <v>14</v>
      </c>
      <c r="N9" s="111">
        <v>2</v>
      </c>
      <c r="O9" s="111">
        <v>2.2</v>
      </c>
      <c r="P9" s="111">
        <v>0.7</v>
      </c>
      <c r="Q9" s="111">
        <v>8</v>
      </c>
      <c r="R9" s="111"/>
      <c r="S9" s="35" t="s">
        <v>1154</v>
      </c>
      <c r="T9" t="str">
        <f t="shared" si="3"/>
        <v>=DISPIMG("ID_3A21167FE20244F68BDB5DDEBD3058E5",1)</v>
      </c>
      <c r="U9" t="s">
        <v>1307</v>
      </c>
    </row>
    <row r="10" customHeight="1" spans="1:21">
      <c r="A10" s="82" t="s">
        <v>1308</v>
      </c>
      <c r="B10" s="98">
        <v>5949898.66</v>
      </c>
      <c r="C10" s="100">
        <v>5586954.84</v>
      </c>
      <c r="D10" s="99">
        <f t="shared" si="2"/>
        <v>6.1</v>
      </c>
      <c r="H10" s="100">
        <v>5585781.46</v>
      </c>
      <c r="I10" s="94">
        <f t="shared" si="0"/>
        <v>6.11972103739998</v>
      </c>
      <c r="K10" s="94">
        <v>6.2</v>
      </c>
      <c r="L10" s="110">
        <v>45057.4583333333</v>
      </c>
      <c r="M10" s="111">
        <v>31</v>
      </c>
      <c r="N10" s="111">
        <v>4</v>
      </c>
      <c r="O10" s="111">
        <v>7.3</v>
      </c>
      <c r="P10" s="111">
        <v>8.5</v>
      </c>
      <c r="Q10" s="111">
        <v>2.5</v>
      </c>
      <c r="R10" s="111"/>
      <c r="S10" s="35" t="s">
        <v>1147</v>
      </c>
      <c r="T10" t="str">
        <f t="shared" si="3"/>
        <v>=DISPIMG("ID_3A21167FE20244F68BDB5DDEBD3058E5",1)</v>
      </c>
      <c r="U10" t="s">
        <v>1309</v>
      </c>
    </row>
    <row r="11" customHeight="1" spans="1:22">
      <c r="A11" s="86" t="s">
        <v>1310</v>
      </c>
      <c r="B11" s="98">
        <v>12128933.03</v>
      </c>
      <c r="C11" s="100">
        <v>11348094.3</v>
      </c>
      <c r="D11" s="99">
        <f t="shared" si="2"/>
        <v>6.53333333333333</v>
      </c>
      <c r="H11" s="103">
        <v>11349527.79</v>
      </c>
      <c r="I11" s="94">
        <f t="shared" si="0"/>
        <v>6.4260000287923</v>
      </c>
      <c r="K11" s="94">
        <v>6.3</v>
      </c>
      <c r="L11" s="110">
        <v>45037.3541666667</v>
      </c>
      <c r="M11" s="111">
        <v>141</v>
      </c>
      <c r="N11" s="111">
        <v>2</v>
      </c>
      <c r="O11" s="111">
        <v>3.4</v>
      </c>
      <c r="P11" s="111">
        <v>6.3</v>
      </c>
      <c r="Q11" s="111">
        <v>9.9</v>
      </c>
      <c r="R11" s="111"/>
      <c r="S11" s="35" t="s">
        <v>1107</v>
      </c>
      <c r="T11" t="str">
        <f t="shared" si="3"/>
        <v>=DISPIMG("ID_3A21167FE20244F68BDB5DDEBD3058E5",1)</v>
      </c>
      <c r="U11" t="s">
        <v>1309</v>
      </c>
      <c r="V11" t="s">
        <v>1108</v>
      </c>
    </row>
    <row r="12" customHeight="1" spans="1:22">
      <c r="A12" s="104" t="s">
        <v>1311</v>
      </c>
      <c r="B12" s="98">
        <v>26494726.67</v>
      </c>
      <c r="C12" s="100">
        <v>24425187.25</v>
      </c>
      <c r="D12" s="99">
        <f t="shared" si="2"/>
        <v>6.16666666666667</v>
      </c>
      <c r="E12" s="94">
        <v>0.3</v>
      </c>
      <c r="H12" s="100">
        <v>24432388.36</v>
      </c>
      <c r="I12" s="94">
        <f t="shared" si="0"/>
        <v>7.78395767462357</v>
      </c>
      <c r="K12" s="94">
        <v>4.3</v>
      </c>
      <c r="L12" s="110">
        <v>45035.4583333333</v>
      </c>
      <c r="M12" s="111">
        <v>113</v>
      </c>
      <c r="N12" s="111">
        <v>3</v>
      </c>
      <c r="O12" s="111">
        <v>5.5</v>
      </c>
      <c r="P12" s="111">
        <v>5.8</v>
      </c>
      <c r="Q12" s="111">
        <v>7.2</v>
      </c>
      <c r="R12" s="111">
        <v>0.3</v>
      </c>
      <c r="S12" s="35" t="s">
        <v>1101</v>
      </c>
      <c r="T12" t="str">
        <f>_xlfn.DISPIMG("ID_DD9DF61BF27045EFA289D59F01C40E1A",1)</f>
        <v>=DISPIMG("ID_DD9DF61BF27045EFA289D59F01C40E1A",1)</v>
      </c>
      <c r="U12" t="s">
        <v>1309</v>
      </c>
      <c r="V12" t="s">
        <v>1023</v>
      </c>
    </row>
    <row r="13" customHeight="1" spans="1:20">
      <c r="A13" s="101" t="s">
        <v>1312</v>
      </c>
      <c r="B13" s="102">
        <v>1577335</v>
      </c>
      <c r="D13" s="99">
        <f t="shared" si="2"/>
        <v>4.66666666666667</v>
      </c>
      <c r="H13" s="105">
        <v>1505215</v>
      </c>
      <c r="I13" s="94">
        <f t="shared" si="0"/>
        <v>4.57226904874361</v>
      </c>
      <c r="K13" s="94">
        <v>6</v>
      </c>
      <c r="L13" s="110">
        <v>45035.375</v>
      </c>
      <c r="M13" s="111">
        <v>3</v>
      </c>
      <c r="N13" s="111"/>
      <c r="O13" s="111">
        <v>4.4</v>
      </c>
      <c r="P13" s="111">
        <v>2</v>
      </c>
      <c r="Q13" s="111">
        <v>7.6</v>
      </c>
      <c r="R13" s="111"/>
      <c r="S13" s="35" t="s">
        <v>1096</v>
      </c>
      <c r="T13" t="str">
        <f>_xlfn.DISPIMG("ID_E5E595E28C1F4E35A7911A36D52C7A8B",1)</f>
        <v>=DISPIMG("ID_E5E595E28C1F4E35A7911A36D52C7A8B",1)</v>
      </c>
    </row>
    <row r="14" customHeight="1" spans="1:21">
      <c r="A14" s="106" t="s">
        <v>1313</v>
      </c>
      <c r="B14" s="98">
        <v>13925405.31</v>
      </c>
      <c r="C14" s="100">
        <v>12747716.3</v>
      </c>
      <c r="D14" s="99">
        <f t="shared" si="2"/>
        <v>8.73333333333333</v>
      </c>
      <c r="E14" s="94">
        <v>0.3</v>
      </c>
      <c r="H14" s="105">
        <v>12747464.16</v>
      </c>
      <c r="I14" s="94">
        <f t="shared" si="0"/>
        <v>8.45893619451138</v>
      </c>
      <c r="K14" s="94">
        <v>7.6</v>
      </c>
      <c r="L14" s="110">
        <v>45034.4583333333</v>
      </c>
      <c r="M14" s="111">
        <v>146</v>
      </c>
      <c r="N14" s="111">
        <v>1</v>
      </c>
      <c r="O14" s="111">
        <v>9</v>
      </c>
      <c r="P14" s="111">
        <v>8.7</v>
      </c>
      <c r="Q14" s="111">
        <v>8.5</v>
      </c>
      <c r="R14" s="111">
        <v>0.3</v>
      </c>
      <c r="S14" s="35" t="s">
        <v>1094</v>
      </c>
      <c r="T14" t="str">
        <f>_xlfn.DISPIMG("ID_314B68A0415F43F985B023E0395B141C",1)</f>
        <v>=DISPIMG("ID_314B68A0415F43F985B023E0395B141C",1)</v>
      </c>
      <c r="U14" t="s">
        <v>1309</v>
      </c>
    </row>
    <row r="15" customHeight="1" spans="1:21">
      <c r="A15" s="82" t="s">
        <v>1314</v>
      </c>
      <c r="B15" s="98">
        <v>29486732.7</v>
      </c>
      <c r="C15" s="98">
        <v>27881092.04</v>
      </c>
      <c r="D15" s="99">
        <f t="shared" si="2"/>
        <v>5.2</v>
      </c>
      <c r="E15" s="94">
        <v>0.5</v>
      </c>
      <c r="H15" s="98">
        <v>27881769.84</v>
      </c>
      <c r="I15" s="94">
        <f t="shared" si="0"/>
        <v>5.44299999708004</v>
      </c>
      <c r="K15" s="94">
        <v>6.7</v>
      </c>
      <c r="L15" s="110">
        <v>45019.4166666667</v>
      </c>
      <c r="M15" s="111">
        <v>146</v>
      </c>
      <c r="N15" s="111">
        <v>4</v>
      </c>
      <c r="O15" s="111">
        <v>2.7</v>
      </c>
      <c r="P15" s="111">
        <v>7.3</v>
      </c>
      <c r="Q15" s="111">
        <v>5.6</v>
      </c>
      <c r="R15" s="111">
        <v>0.5</v>
      </c>
      <c r="S15" s="35" t="s">
        <v>1065</v>
      </c>
      <c r="T15" t="str">
        <f>_xlfn.DISPIMG("ID_EE563D7C5E3E42438E4C67A657B12613",1)</f>
        <v>=DISPIMG("ID_EE563D7C5E3E42438E4C67A657B12613",1)</v>
      </c>
      <c r="U15" t="s">
        <v>1309</v>
      </c>
    </row>
    <row r="16" customHeight="1" spans="1:21">
      <c r="A16" s="82" t="s">
        <v>1315</v>
      </c>
      <c r="B16" s="98">
        <v>1431609.53</v>
      </c>
      <c r="D16" s="99">
        <f t="shared" si="2"/>
        <v>4.13333333333333</v>
      </c>
      <c r="E16" s="94">
        <v>0.9</v>
      </c>
      <c r="H16" s="98" t="s">
        <v>1048</v>
      </c>
      <c r="I16" s="94">
        <f t="shared" si="0"/>
        <v>4.18299953619336</v>
      </c>
      <c r="K16" s="94">
        <v>8.6</v>
      </c>
      <c r="L16" s="110">
        <v>44992.3958333333</v>
      </c>
      <c r="M16" s="111"/>
      <c r="N16" s="111">
        <v>3</v>
      </c>
      <c r="O16" s="111">
        <v>1.6</v>
      </c>
      <c r="P16" s="111">
        <v>2.6</v>
      </c>
      <c r="Q16" s="111">
        <v>8.2</v>
      </c>
      <c r="R16" s="111">
        <v>0.9</v>
      </c>
      <c r="S16" s="35" t="s">
        <v>1049</v>
      </c>
      <c r="T16" t="str">
        <f>_xlfn.DISPIMG("ID_3A21167FE20244F68BDB5DDEBD3058E5",1)</f>
        <v>=DISPIMG("ID_3A21167FE20244F68BDB5DDEBD3058E5",1)</v>
      </c>
      <c r="U16" t="s">
        <v>1309</v>
      </c>
    </row>
    <row r="17" customHeight="1" spans="1:21">
      <c r="A17" s="82" t="s">
        <v>1316</v>
      </c>
      <c r="B17" s="98">
        <v>6407434.13</v>
      </c>
      <c r="D17" s="99"/>
      <c r="H17" s="98">
        <v>6088343.91</v>
      </c>
      <c r="I17" s="94">
        <f t="shared" si="0"/>
        <v>4.98000000508785</v>
      </c>
      <c r="K17" s="94">
        <v>6.3</v>
      </c>
      <c r="L17" s="110">
        <v>44966.3958333333</v>
      </c>
      <c r="M17" s="111">
        <v>115</v>
      </c>
      <c r="N17" s="111"/>
      <c r="O17" s="111"/>
      <c r="P17" s="111"/>
      <c r="Q17" s="111"/>
      <c r="R17" s="111"/>
      <c r="S17" s="35" t="s">
        <v>1030</v>
      </c>
      <c r="T17" t="str">
        <f>_xlfn.DISPIMG("ID_3A21167FE20244F68BDB5DDEBD3058E5",1)</f>
        <v>=DISPIMG("ID_3A21167FE20244F68BDB5DDEBD3058E5",1)</v>
      </c>
      <c r="U17" t="s">
        <v>1309</v>
      </c>
    </row>
    <row r="18" customHeight="1" spans="1:22">
      <c r="A18" s="82" t="s">
        <v>1317</v>
      </c>
      <c r="B18" s="98">
        <v>13087317.74</v>
      </c>
      <c r="C18" s="98">
        <v>12273875.74</v>
      </c>
      <c r="D18" s="99">
        <f>AVERAGE(O18:Q18)</f>
        <v>6.6</v>
      </c>
      <c r="E18" s="94">
        <v>0.7</v>
      </c>
      <c r="H18" s="98">
        <v>12271323.48</v>
      </c>
      <c r="I18" s="94">
        <f t="shared" si="0"/>
        <v>6.23499999167898</v>
      </c>
      <c r="K18" s="94">
        <v>6.9</v>
      </c>
      <c r="L18" s="110">
        <v>44964.3958333333</v>
      </c>
      <c r="M18" s="111">
        <v>116</v>
      </c>
      <c r="N18" s="111">
        <v>3</v>
      </c>
      <c r="O18" s="111">
        <v>9</v>
      </c>
      <c r="P18" s="111">
        <v>10</v>
      </c>
      <c r="Q18" s="111">
        <v>0.8</v>
      </c>
      <c r="R18" s="111">
        <v>0.7</v>
      </c>
      <c r="S18" s="35" t="s">
        <v>1022</v>
      </c>
      <c r="T18" t="str">
        <f>_xlfn.DISPIMG("ID_3A21167FE20244F68BDB5DDEBD3058E5",1)</f>
        <v>=DISPIMG("ID_3A21167FE20244F68BDB5DDEBD3058E5",1)</v>
      </c>
      <c r="U18" t="s">
        <v>1309</v>
      </c>
      <c r="V18" t="s">
        <v>1023</v>
      </c>
    </row>
    <row r="19" customHeight="1" spans="1:21">
      <c r="A19" s="82" t="s">
        <v>1318</v>
      </c>
      <c r="B19" s="98">
        <v>10625354.02</v>
      </c>
      <c r="D19" s="99"/>
      <c r="H19" s="98">
        <v>10063272.79</v>
      </c>
      <c r="I19" s="94">
        <f t="shared" si="0"/>
        <v>5.29000002204162</v>
      </c>
      <c r="K19" s="94">
        <v>5.8</v>
      </c>
      <c r="L19" s="110">
        <v>44956.3958333333</v>
      </c>
      <c r="M19" s="111">
        <v>127</v>
      </c>
      <c r="N19" s="111"/>
      <c r="O19" s="111"/>
      <c r="P19" s="111"/>
      <c r="Q19" s="111"/>
      <c r="R19" s="111"/>
      <c r="S19" s="35" t="s">
        <v>1007</v>
      </c>
      <c r="T19" t="str">
        <f>_xlfn.DISPIMG("ID_3A21167FE20244F68BDB5DDEBD3058E5",1)</f>
        <v>=DISPIMG("ID_3A21167FE20244F68BDB5DDEBD3058E5",1)</v>
      </c>
      <c r="U19" t="s">
        <v>1309</v>
      </c>
    </row>
    <row r="20" customHeight="1" spans="1:21">
      <c r="A20" s="82" t="s">
        <v>1319</v>
      </c>
      <c r="B20" s="98">
        <v>9228725.11</v>
      </c>
      <c r="D20" s="99"/>
      <c r="H20" s="98">
        <v>8611600.26</v>
      </c>
      <c r="I20" s="94">
        <f t="shared" si="0"/>
        <v>6.68700002052613</v>
      </c>
      <c r="K20" s="94">
        <v>5.3</v>
      </c>
      <c r="L20" s="110">
        <v>44957.3958333333</v>
      </c>
      <c r="M20" s="111">
        <v>124</v>
      </c>
      <c r="N20" s="111"/>
      <c r="O20" s="111"/>
      <c r="P20" s="111"/>
      <c r="Q20" s="111"/>
      <c r="R20" s="111"/>
      <c r="S20" s="35" t="s">
        <v>1009</v>
      </c>
      <c r="T20" t="str">
        <f>_xlfn.DISPIMG("ID_3A21167FE20244F68BDB5DDEBD3058E5",1)</f>
        <v>=DISPIMG("ID_3A21167FE20244F68BDB5DDEBD3058E5",1)</v>
      </c>
      <c r="U20" t="s">
        <v>1309</v>
      </c>
    </row>
    <row r="21" s="13" customFormat="1" customHeight="1" spans="1:22">
      <c r="A21" s="52" t="s">
        <v>1320</v>
      </c>
      <c r="B21" s="96">
        <v>41978590.91</v>
      </c>
      <c r="C21" s="107">
        <v>39590288.7</v>
      </c>
      <c r="D21" s="99">
        <f>AVERAGE(O21:Q21)</f>
        <v>6.2</v>
      </c>
      <c r="E21" s="96">
        <v>0.3</v>
      </c>
      <c r="F21" s="96"/>
      <c r="G21" s="96"/>
      <c r="H21" s="96">
        <v>39593636.63</v>
      </c>
      <c r="I21" s="96">
        <f t="shared" si="0"/>
        <v>5.68135858850816</v>
      </c>
      <c r="J21" s="96"/>
      <c r="K21" s="96">
        <v>5.8</v>
      </c>
      <c r="L21" s="110">
        <v>44936.4583333333</v>
      </c>
      <c r="M21" s="112">
        <v>129</v>
      </c>
      <c r="N21" s="112">
        <v>3</v>
      </c>
      <c r="O21" s="112">
        <v>9</v>
      </c>
      <c r="P21" s="112">
        <v>2.6</v>
      </c>
      <c r="Q21" s="112">
        <v>7</v>
      </c>
      <c r="R21" s="112">
        <v>0.3</v>
      </c>
      <c r="S21" s="61" t="s">
        <v>985</v>
      </c>
      <c r="T21" s="13" t="str">
        <f t="shared" ref="T21:T26" si="4">_xlfn.DISPIMG("ID_3A21167FE20244F68BDB5DDEBD3058E5",1)</f>
        <v>=DISPIMG("ID_3A21167FE20244F68BDB5DDEBD3058E5",1)</v>
      </c>
      <c r="U21" s="13" t="s">
        <v>1309</v>
      </c>
      <c r="V21" s="52" t="s">
        <v>986</v>
      </c>
    </row>
    <row r="22" customHeight="1" spans="1:22">
      <c r="A22" s="108" t="s">
        <v>1321</v>
      </c>
      <c r="B22" s="94">
        <v>13038077.19</v>
      </c>
      <c r="D22" s="99">
        <f>AVERAGE(O22:Q22)</f>
        <v>4.8</v>
      </c>
      <c r="E22" s="94">
        <v>0.1</v>
      </c>
      <c r="H22" s="100">
        <v>12372874.49</v>
      </c>
      <c r="I22" s="94">
        <f t="shared" si="0"/>
        <v>5.10200001354647</v>
      </c>
      <c r="K22" s="94">
        <v>6.3</v>
      </c>
      <c r="L22" s="110">
        <v>44945.375</v>
      </c>
      <c r="M22" s="111"/>
      <c r="N22" s="111">
        <v>1</v>
      </c>
      <c r="O22" s="111">
        <v>8.9</v>
      </c>
      <c r="P22" s="111">
        <v>4.2</v>
      </c>
      <c r="Q22" s="111">
        <v>1.3</v>
      </c>
      <c r="R22" s="111">
        <v>0.1</v>
      </c>
      <c r="S22" s="35" t="s">
        <v>997</v>
      </c>
      <c r="T22" t="str">
        <f t="shared" si="4"/>
        <v>=DISPIMG("ID_3A21167FE20244F68BDB5DDEBD3058E5",1)</v>
      </c>
      <c r="U22" t="s">
        <v>1309</v>
      </c>
      <c r="V22" s="5" t="s">
        <v>998</v>
      </c>
    </row>
    <row r="23" customHeight="1" spans="1:22">
      <c r="A23" s="5" t="s">
        <v>1322</v>
      </c>
      <c r="B23" s="98">
        <v>26067714.67</v>
      </c>
      <c r="D23" s="99">
        <f>AVERAGE(O23:Q23)</f>
        <v>6.2</v>
      </c>
      <c r="E23" s="94">
        <v>0.7</v>
      </c>
      <c r="H23" s="98">
        <v>24523218.89</v>
      </c>
      <c r="I23" s="94">
        <f t="shared" si="0"/>
        <v>5.92493741608075</v>
      </c>
      <c r="K23" s="94">
        <v>6.3</v>
      </c>
      <c r="L23" s="110">
        <v>44944.5</v>
      </c>
      <c r="M23" s="111">
        <v>129</v>
      </c>
      <c r="N23" s="111">
        <v>2</v>
      </c>
      <c r="O23" s="111">
        <v>3.4</v>
      </c>
      <c r="P23" s="111">
        <v>7.2</v>
      </c>
      <c r="Q23" s="111">
        <v>8</v>
      </c>
      <c r="R23" s="111">
        <v>0.7</v>
      </c>
      <c r="S23" s="35" t="s">
        <v>994</v>
      </c>
      <c r="T23" t="str">
        <f t="shared" si="4"/>
        <v>=DISPIMG("ID_3A21167FE20244F68BDB5DDEBD3058E5",1)</v>
      </c>
      <c r="U23" t="s">
        <v>1309</v>
      </c>
      <c r="V23" s="5" t="s">
        <v>995</v>
      </c>
    </row>
    <row r="24" customHeight="1" spans="1:22">
      <c r="A24" s="5" t="s">
        <v>1323</v>
      </c>
      <c r="B24" s="98">
        <v>29999565.85</v>
      </c>
      <c r="D24" s="99"/>
      <c r="H24" s="98">
        <v>27545601.36</v>
      </c>
      <c r="I24" s="94">
        <f t="shared" si="0"/>
        <v>8.18000001156683</v>
      </c>
      <c r="K24" s="94">
        <v>4.6</v>
      </c>
      <c r="L24" s="113">
        <v>44572.4583333333</v>
      </c>
      <c r="M24" s="111">
        <v>55</v>
      </c>
      <c r="N24" s="111">
        <v>4</v>
      </c>
      <c r="O24" s="111">
        <v>7.6</v>
      </c>
      <c r="P24" s="111">
        <v>9.5</v>
      </c>
      <c r="Q24" s="111">
        <v>7.3</v>
      </c>
      <c r="R24" s="111"/>
      <c r="S24" s="35" t="s">
        <v>466</v>
      </c>
      <c r="T24" t="str">
        <f t="shared" ref="T24:T27" si="5">_xlfn.DISPIMG("ID_314B68A0415F43F985B023E0395B141C",1)</f>
        <v>=DISPIMG("ID_314B68A0415F43F985B023E0395B141C",1)</v>
      </c>
      <c r="U24" t="s">
        <v>1309</v>
      </c>
      <c r="V24" t="s">
        <v>468</v>
      </c>
    </row>
    <row r="25" customHeight="1" spans="1:22">
      <c r="A25" s="5" t="s">
        <v>1324</v>
      </c>
      <c r="B25" s="94">
        <v>52997330.13</v>
      </c>
      <c r="D25" s="99">
        <f t="shared" ref="D25:D32" si="6">AVERAGE(O25:Q25)</f>
        <v>8.03333333333333</v>
      </c>
      <c r="E25" s="94">
        <v>0.7</v>
      </c>
      <c r="H25" s="98">
        <v>48700730.59</v>
      </c>
      <c r="I25" s="94">
        <f t="shared" si="0"/>
        <v>8.10719998434004</v>
      </c>
      <c r="K25" s="94">
        <v>6.8</v>
      </c>
      <c r="L25" s="113">
        <v>44939.4583333333</v>
      </c>
      <c r="M25" s="111">
        <v>66</v>
      </c>
      <c r="N25" s="111">
        <v>3</v>
      </c>
      <c r="O25" s="111">
        <v>8.8</v>
      </c>
      <c r="P25" s="111">
        <v>7.8</v>
      </c>
      <c r="Q25" s="111">
        <v>7.5</v>
      </c>
      <c r="R25" s="111">
        <v>0.7</v>
      </c>
      <c r="S25" s="35" t="s">
        <v>991</v>
      </c>
      <c r="T25" t="str">
        <f t="shared" si="5"/>
        <v>=DISPIMG("ID_314B68A0415F43F985B023E0395B141C",1)</v>
      </c>
      <c r="U25" t="s">
        <v>1309</v>
      </c>
      <c r="V25" s="115" t="s">
        <v>992</v>
      </c>
    </row>
    <row r="26" customHeight="1" spans="1:22">
      <c r="A26" s="18" t="s">
        <v>1325</v>
      </c>
      <c r="B26" s="98">
        <v>13426444.34</v>
      </c>
      <c r="D26" s="99">
        <f t="shared" si="6"/>
        <v>6.56666666666667</v>
      </c>
      <c r="E26" s="94">
        <v>0.3</v>
      </c>
      <c r="H26" s="98">
        <v>12657958.93</v>
      </c>
      <c r="I26" s="94">
        <f t="shared" si="0"/>
        <v>5.72367032208618</v>
      </c>
      <c r="K26" s="94">
        <v>5.6</v>
      </c>
      <c r="L26" s="110">
        <v>44929.4583333333</v>
      </c>
      <c r="M26" s="111">
        <v>130</v>
      </c>
      <c r="N26" s="111">
        <v>6</v>
      </c>
      <c r="O26" s="111">
        <v>6.6</v>
      </c>
      <c r="P26" s="111">
        <v>4.2</v>
      </c>
      <c r="Q26" s="111">
        <v>8.9</v>
      </c>
      <c r="R26" s="111">
        <v>0.3</v>
      </c>
      <c r="S26" s="35" t="s">
        <v>974</v>
      </c>
      <c r="T26" t="str">
        <f t="shared" si="4"/>
        <v>=DISPIMG("ID_3A21167FE20244F68BDB5DDEBD3058E5",1)</v>
      </c>
      <c r="U26" t="s">
        <v>1309</v>
      </c>
      <c r="V26" s="116" t="s">
        <v>975</v>
      </c>
    </row>
    <row r="27" customHeight="1" spans="1:22">
      <c r="A27" s="108" t="s">
        <v>1326</v>
      </c>
      <c r="B27" s="98">
        <v>19418685.93</v>
      </c>
      <c r="C27" s="98">
        <v>17744688.4</v>
      </c>
      <c r="D27" s="99">
        <f t="shared" si="6"/>
        <v>8.96666666666667</v>
      </c>
      <c r="E27" s="94">
        <v>0.5</v>
      </c>
      <c r="H27" s="98">
        <v>17743630.08</v>
      </c>
      <c r="I27" s="94">
        <f t="shared" si="0"/>
        <v>8.62600000864221</v>
      </c>
      <c r="K27" s="94">
        <v>5.7</v>
      </c>
      <c r="L27" s="110">
        <v>44914.375</v>
      </c>
      <c r="M27" s="111">
        <v>128</v>
      </c>
      <c r="N27" s="111">
        <v>3</v>
      </c>
      <c r="O27" s="111">
        <v>7.8</v>
      </c>
      <c r="P27" s="111">
        <v>9.1</v>
      </c>
      <c r="Q27" s="111">
        <v>10</v>
      </c>
      <c r="R27" s="111">
        <v>0.5</v>
      </c>
      <c r="S27" s="35" t="s">
        <v>966</v>
      </c>
      <c r="T27" t="str">
        <f t="shared" si="5"/>
        <v>=DISPIMG("ID_314B68A0415F43F985B023E0395B141C",1)</v>
      </c>
      <c r="U27" t="s">
        <v>1309</v>
      </c>
      <c r="V27" s="5" t="s">
        <v>967</v>
      </c>
    </row>
    <row r="28" customHeight="1" spans="1:22">
      <c r="A28" s="20" t="s">
        <v>1327</v>
      </c>
      <c r="B28" s="98">
        <v>8384739.59</v>
      </c>
      <c r="C28" s="98">
        <v>7885429.43</v>
      </c>
      <c r="D28" s="99">
        <f t="shared" si="6"/>
        <v>7.16666666666667</v>
      </c>
      <c r="E28" s="94">
        <v>0.3</v>
      </c>
      <c r="H28" s="98">
        <v>7884234.48</v>
      </c>
      <c r="I28" s="94">
        <f t="shared" si="0"/>
        <v>5.96923857476652</v>
      </c>
      <c r="K28" s="94">
        <v>9.3</v>
      </c>
      <c r="L28" s="110">
        <v>44909.3958333333</v>
      </c>
      <c r="M28" s="111">
        <v>123</v>
      </c>
      <c r="N28" s="111">
        <v>2</v>
      </c>
      <c r="O28" s="111">
        <v>7.2</v>
      </c>
      <c r="P28" s="111">
        <v>6.3</v>
      </c>
      <c r="Q28" s="111">
        <v>8</v>
      </c>
      <c r="R28" s="111">
        <v>0.3</v>
      </c>
      <c r="S28" s="35" t="s">
        <v>963</v>
      </c>
      <c r="T28" t="str">
        <f t="shared" ref="T28:T35" si="7">_xlfn.DISPIMG("ID_3A21167FE20244F68BDB5DDEBD3058E5",1)</f>
        <v>=DISPIMG("ID_3A21167FE20244F68BDB5DDEBD3058E5",1)</v>
      </c>
      <c r="U28" t="s">
        <v>1309</v>
      </c>
      <c r="V28" s="20" t="s">
        <v>964</v>
      </c>
    </row>
    <row r="29" customHeight="1" spans="1:22">
      <c r="A29" s="5" t="s">
        <v>1328</v>
      </c>
      <c r="B29" s="98">
        <v>13076681.73</v>
      </c>
      <c r="C29" s="100">
        <v>12396447.68</v>
      </c>
      <c r="D29" s="99">
        <f t="shared" si="6"/>
        <v>5.23333333333333</v>
      </c>
      <c r="E29" s="94">
        <v>0.7</v>
      </c>
      <c r="H29" s="100">
        <v>12397077.68</v>
      </c>
      <c r="I29" s="94">
        <f t="shared" si="0"/>
        <v>5.1970680638413</v>
      </c>
      <c r="K29" s="94">
        <v>5.63</v>
      </c>
      <c r="L29" s="110">
        <v>44883.4583333333</v>
      </c>
      <c r="M29" s="111">
        <v>119</v>
      </c>
      <c r="N29" s="111">
        <v>3</v>
      </c>
      <c r="O29" s="111">
        <v>1.6</v>
      </c>
      <c r="P29" s="111">
        <v>8.2</v>
      </c>
      <c r="Q29" s="111">
        <v>5.9</v>
      </c>
      <c r="R29" s="111">
        <v>0.7</v>
      </c>
      <c r="S29" s="35" t="s">
        <v>945</v>
      </c>
      <c r="T29" t="str">
        <f t="shared" si="7"/>
        <v>=DISPIMG("ID_3A21167FE20244F68BDB5DDEBD3058E5",1)</v>
      </c>
      <c r="U29" t="s">
        <v>1309</v>
      </c>
      <c r="V29" s="5" t="s">
        <v>946</v>
      </c>
    </row>
    <row r="30" customHeight="1" spans="1:22">
      <c r="A30" s="5" t="s">
        <v>1329</v>
      </c>
      <c r="B30" s="94">
        <v>9933372.45</v>
      </c>
      <c r="C30" s="98">
        <v>9568817.68</v>
      </c>
      <c r="D30" s="99">
        <f t="shared" si="6"/>
        <v>3.66666666666667</v>
      </c>
      <c r="H30" s="98">
        <v>9862283.32</v>
      </c>
      <c r="I30" s="94">
        <f t="shared" si="0"/>
        <v>0.715659564340598</v>
      </c>
      <c r="K30" s="94">
        <v>7.3</v>
      </c>
      <c r="L30" s="113">
        <v>44890.375</v>
      </c>
      <c r="M30" s="111">
        <v>4</v>
      </c>
      <c r="N30" s="111">
        <v>4</v>
      </c>
      <c r="O30" s="111">
        <v>5.3</v>
      </c>
      <c r="P30" s="111">
        <v>3.2</v>
      </c>
      <c r="Q30" s="111">
        <v>2.5</v>
      </c>
      <c r="R30" s="111"/>
      <c r="S30" s="35" t="s">
        <v>948</v>
      </c>
      <c r="T30" t="str">
        <f t="shared" si="7"/>
        <v>=DISPIMG("ID_3A21167FE20244F68BDB5DDEBD3058E5",1)</v>
      </c>
      <c r="U30" t="s">
        <v>1309</v>
      </c>
      <c r="V30" s="5" t="s">
        <v>949</v>
      </c>
    </row>
    <row r="31" customHeight="1" spans="1:22">
      <c r="A31" s="20" t="s">
        <v>1330</v>
      </c>
      <c r="B31" s="98">
        <v>13437250.68</v>
      </c>
      <c r="C31" s="98">
        <v>12688218.05</v>
      </c>
      <c r="D31" s="99">
        <f t="shared" si="6"/>
        <v>7.16666666666667</v>
      </c>
      <c r="E31" s="94">
        <v>0.1</v>
      </c>
      <c r="H31" s="103">
        <v>12687989.58</v>
      </c>
      <c r="I31" s="94">
        <f t="shared" si="0"/>
        <v>5.57600001550317</v>
      </c>
      <c r="K31" s="94">
        <v>5.2</v>
      </c>
      <c r="L31" s="110">
        <v>44883.3958333333</v>
      </c>
      <c r="M31" s="111">
        <v>130</v>
      </c>
      <c r="N31" s="111">
        <v>3</v>
      </c>
      <c r="O31" s="111">
        <v>8.2</v>
      </c>
      <c r="P31" s="111">
        <v>10</v>
      </c>
      <c r="Q31" s="111">
        <v>3.3</v>
      </c>
      <c r="R31" s="111">
        <v>0.1</v>
      </c>
      <c r="S31" s="35" t="s">
        <v>942</v>
      </c>
      <c r="T31" t="str">
        <f t="shared" si="7"/>
        <v>=DISPIMG("ID_3A21167FE20244F68BDB5DDEBD3058E5",1)</v>
      </c>
      <c r="U31" t="s">
        <v>1309</v>
      </c>
      <c r="V31" s="20" t="s">
        <v>943</v>
      </c>
    </row>
    <row r="32" customHeight="1" spans="1:22">
      <c r="A32" s="108" t="s">
        <v>1331</v>
      </c>
      <c r="B32" s="98">
        <v>37476362.19</v>
      </c>
      <c r="D32" s="99">
        <f t="shared" si="6"/>
        <v>8.43333333333333</v>
      </c>
      <c r="E32" s="94">
        <v>0.9</v>
      </c>
      <c r="H32" s="100">
        <v>34321976.78</v>
      </c>
      <c r="I32" s="94">
        <f t="shared" si="0"/>
        <v>8.41700001192137</v>
      </c>
      <c r="K32" s="94">
        <v>5.5</v>
      </c>
      <c r="L32" s="110">
        <v>44875.4583333333</v>
      </c>
      <c r="M32" s="111">
        <v>126</v>
      </c>
      <c r="N32" s="111">
        <v>2</v>
      </c>
      <c r="O32" s="111">
        <v>7.4</v>
      </c>
      <c r="P32" s="111">
        <v>8</v>
      </c>
      <c r="Q32" s="111">
        <v>9.9</v>
      </c>
      <c r="R32" s="111">
        <v>0.9</v>
      </c>
      <c r="S32" s="35" t="s">
        <v>933</v>
      </c>
      <c r="T32" t="str">
        <f>_xlfn.DISPIMG("ID_314B68A0415F43F985B023E0395B141C",1)</f>
        <v>=DISPIMG("ID_314B68A0415F43F985B023E0395B141C",1)</v>
      </c>
      <c r="U32" t="s">
        <v>1309</v>
      </c>
      <c r="V32" s="5" t="s">
        <v>934</v>
      </c>
    </row>
    <row r="33" customHeight="1" spans="1:22">
      <c r="A33" s="5" t="s">
        <v>903</v>
      </c>
      <c r="B33" s="98">
        <v>16504012.36</v>
      </c>
      <c r="D33" s="99"/>
      <c r="H33" s="98">
        <v>15682277.58</v>
      </c>
      <c r="I33" s="94">
        <f t="shared" si="0"/>
        <v>4.97900002784534</v>
      </c>
      <c r="K33" s="94">
        <v>8.3</v>
      </c>
      <c r="L33" s="110">
        <v>44866.3958333333</v>
      </c>
      <c r="M33" s="111">
        <v>129</v>
      </c>
      <c r="N33" s="111"/>
      <c r="O33" s="111"/>
      <c r="P33" s="111"/>
      <c r="Q33" s="111"/>
      <c r="R33" s="111"/>
      <c r="S33" s="35" t="s">
        <v>904</v>
      </c>
      <c r="T33" t="str">
        <f t="shared" si="7"/>
        <v>=DISPIMG("ID_3A21167FE20244F68BDB5DDEBD3058E5",1)</v>
      </c>
      <c r="U33" t="s">
        <v>1309</v>
      </c>
      <c r="V33" s="5" t="s">
        <v>905</v>
      </c>
    </row>
    <row r="34" customHeight="1" spans="1:22">
      <c r="A34" s="108" t="s">
        <v>1332</v>
      </c>
      <c r="B34" s="98">
        <v>30626054.79</v>
      </c>
      <c r="C34" s="100">
        <v>28850133.15</v>
      </c>
      <c r="D34" s="99">
        <f>AVERAGE(O34:Q34)</f>
        <v>6.1</v>
      </c>
      <c r="E34" s="94">
        <v>0.7</v>
      </c>
      <c r="H34" s="105">
        <v>28854337.52</v>
      </c>
      <c r="I34" s="94">
        <f t="shared" si="0"/>
        <v>5.78500000130117</v>
      </c>
      <c r="K34" s="94">
        <v>5.6</v>
      </c>
      <c r="L34" s="110">
        <v>44842.4791666667</v>
      </c>
      <c r="M34" s="111">
        <v>124</v>
      </c>
      <c r="N34" s="111">
        <v>4</v>
      </c>
      <c r="O34" s="111">
        <v>8.5</v>
      </c>
      <c r="P34" s="111">
        <v>9.2</v>
      </c>
      <c r="Q34" s="111">
        <v>0.6</v>
      </c>
      <c r="R34" s="111">
        <v>0.7</v>
      </c>
      <c r="S34" s="35" t="s">
        <v>883</v>
      </c>
      <c r="T34" t="str">
        <f t="shared" si="7"/>
        <v>=DISPIMG("ID_3A21167FE20244F68BDB5DDEBD3058E5",1)</v>
      </c>
      <c r="U34" t="s">
        <v>1309</v>
      </c>
      <c r="V34" s="5" t="s">
        <v>884</v>
      </c>
    </row>
    <row r="35" customHeight="1" spans="1:22">
      <c r="A35" s="31" t="s">
        <v>1333</v>
      </c>
      <c r="B35" s="100">
        <v>20526716.19</v>
      </c>
      <c r="C35" s="100">
        <v>19589445.17</v>
      </c>
      <c r="D35" s="99">
        <f>AVERAGE(O35:Q35)</f>
        <v>3.06666666666667</v>
      </c>
      <c r="E35" s="94">
        <v>0.3</v>
      </c>
      <c r="H35" s="100">
        <v>19594598.01</v>
      </c>
      <c r="I35" s="94">
        <f t="shared" si="0"/>
        <v>4.5409999893412</v>
      </c>
      <c r="K35" s="94">
        <v>6.4</v>
      </c>
      <c r="L35" s="114">
        <v>44813.4791666667</v>
      </c>
      <c r="M35" s="111">
        <v>125</v>
      </c>
      <c r="N35" s="111">
        <v>2</v>
      </c>
      <c r="O35" s="111">
        <v>3.4</v>
      </c>
      <c r="P35" s="111">
        <v>5.1</v>
      </c>
      <c r="Q35" s="111">
        <v>0.7</v>
      </c>
      <c r="R35" s="111">
        <v>0.3</v>
      </c>
      <c r="S35" s="35" t="s">
        <v>863</v>
      </c>
      <c r="T35" t="str">
        <f t="shared" si="7"/>
        <v>=DISPIMG("ID_3A21167FE20244F68BDB5DDEBD3058E5",1)</v>
      </c>
      <c r="U35" t="s">
        <v>1309</v>
      </c>
      <c r="V35" s="31" t="s">
        <v>864</v>
      </c>
    </row>
    <row r="36" customHeight="1" spans="1:24">
      <c r="A36" s="5" t="s">
        <v>1334</v>
      </c>
      <c r="B36" s="98">
        <v>2117238.77</v>
      </c>
      <c r="D36" s="99">
        <v>100.4</v>
      </c>
      <c r="E36" s="94">
        <v>11</v>
      </c>
      <c r="H36" s="98">
        <v>2046671.2</v>
      </c>
      <c r="I36" s="94">
        <f t="shared" si="0"/>
        <v>3.33300008482274</v>
      </c>
      <c r="K36" s="94">
        <v>4.2</v>
      </c>
      <c r="L36" s="110">
        <v>44687.3958333333</v>
      </c>
      <c r="M36" s="111">
        <v>79</v>
      </c>
      <c r="N36" s="111"/>
      <c r="O36" s="111"/>
      <c r="P36" s="111"/>
      <c r="Q36" s="111"/>
      <c r="R36" s="111"/>
      <c r="S36" s="35" t="s">
        <v>632</v>
      </c>
      <c r="T36" t="str">
        <f>_xlfn.DISPIMG("ID_2926C412A5F940B89B9AA176A13C9D59",1)</f>
        <v>=DISPIMG("ID_2926C412A5F940B89B9AA176A13C9D59",1)</v>
      </c>
      <c r="U36" t="s">
        <v>1309</v>
      </c>
      <c r="V36" s="5" t="s">
        <v>633</v>
      </c>
      <c r="X36" s="44"/>
    </row>
    <row r="37" customHeight="1" spans="1:22">
      <c r="A37" s="31" t="s">
        <v>1335</v>
      </c>
      <c r="B37" s="100">
        <v>8446402.66</v>
      </c>
      <c r="C37" s="98">
        <v>7923491.19</v>
      </c>
      <c r="D37" s="99">
        <f>AVERAGE(O37:Q37)</f>
        <v>6.46666666666667</v>
      </c>
      <c r="E37" s="94">
        <v>0.1</v>
      </c>
      <c r="H37" s="98">
        <v>7923125.38</v>
      </c>
      <c r="I37" s="94">
        <f t="shared" si="0"/>
        <v>6.19526798643057</v>
      </c>
      <c r="K37" s="94">
        <v>0.7</v>
      </c>
      <c r="L37" s="114">
        <v>44720.375</v>
      </c>
      <c r="M37" s="111">
        <v>123</v>
      </c>
      <c r="N37" s="111">
        <v>2</v>
      </c>
      <c r="O37" s="111">
        <v>9.7</v>
      </c>
      <c r="P37" s="111">
        <v>6.1</v>
      </c>
      <c r="Q37" s="111">
        <v>3.6</v>
      </c>
      <c r="R37" s="111">
        <v>0.1</v>
      </c>
      <c r="S37" s="35" t="s">
        <v>687</v>
      </c>
      <c r="T37" t="str">
        <f>_xlfn.DISPIMG("ID_544CDD7781C04FFCBCEC3D98EB86447F",1)</f>
        <v>=DISPIMG("ID_544CDD7781C04FFCBCEC3D98EB86447F",1)</v>
      </c>
      <c r="U37" t="s">
        <v>1309</v>
      </c>
      <c r="V37" s="31" t="s">
        <v>689</v>
      </c>
    </row>
    <row r="38" customHeight="1" spans="1:22">
      <c r="A38" t="s">
        <v>683</v>
      </c>
      <c r="B38" s="98">
        <v>6185385.62</v>
      </c>
      <c r="D38" s="99">
        <f>AVERAGE(O38:Q38)</f>
        <v>5.36666666666667</v>
      </c>
      <c r="E38" s="94">
        <v>0.1</v>
      </c>
      <c r="H38" s="98">
        <v>5866977.74</v>
      </c>
      <c r="I38" s="94">
        <f t="shared" si="0"/>
        <v>5.14774501642147</v>
      </c>
      <c r="K38" s="94">
        <v>5.3</v>
      </c>
      <c r="L38" s="110">
        <v>44719.3958333333</v>
      </c>
      <c r="M38" s="111">
        <v>111</v>
      </c>
      <c r="N38" s="111">
        <v>2</v>
      </c>
      <c r="O38" s="111">
        <v>0.7</v>
      </c>
      <c r="P38" s="111">
        <v>9.1</v>
      </c>
      <c r="Q38" s="111">
        <v>6.3</v>
      </c>
      <c r="R38" s="111">
        <v>0.1</v>
      </c>
      <c r="S38" s="35" t="s">
        <v>684</v>
      </c>
      <c r="T38" t="str">
        <f t="shared" ref="T38:T44" si="8">_xlfn.DISPIMG("ID_3A21167FE20244F68BDB5DDEBD3058E5",1)</f>
        <v>=DISPIMG("ID_3A21167FE20244F68BDB5DDEBD3058E5",1)</v>
      </c>
      <c r="U38" t="s">
        <v>1309</v>
      </c>
      <c r="V38" s="5" t="s">
        <v>685</v>
      </c>
    </row>
    <row r="39" customHeight="1" spans="1:22">
      <c r="A39" s="5" t="s">
        <v>1336</v>
      </c>
      <c r="B39" s="98">
        <v>87345529.34</v>
      </c>
      <c r="C39" s="100">
        <v>83423758.16</v>
      </c>
      <c r="D39" s="99">
        <f>AVERAGE(O39:Q39)</f>
        <v>3.6</v>
      </c>
      <c r="E39" s="94">
        <v>0.1</v>
      </c>
      <c r="H39" s="100">
        <v>83416677.88</v>
      </c>
      <c r="I39" s="94">
        <f t="shared" si="0"/>
        <v>4.49805672904748</v>
      </c>
      <c r="K39" s="94">
        <v>4.6</v>
      </c>
      <c r="L39" s="110">
        <v>44748.375</v>
      </c>
      <c r="M39" s="111">
        <v>120</v>
      </c>
      <c r="N39" s="111">
        <v>1</v>
      </c>
      <c r="O39" s="111">
        <v>6.4</v>
      </c>
      <c r="P39" s="111">
        <v>3.1</v>
      </c>
      <c r="Q39" s="111">
        <v>1.3</v>
      </c>
      <c r="R39" s="111">
        <v>0.1</v>
      </c>
      <c r="S39" s="35" t="s">
        <v>739</v>
      </c>
      <c r="T39" t="str">
        <f t="shared" si="8"/>
        <v>=DISPIMG("ID_3A21167FE20244F68BDB5DDEBD3058E5",1)</v>
      </c>
      <c r="U39" t="s">
        <v>1309</v>
      </c>
      <c r="V39" s="5" t="s">
        <v>740</v>
      </c>
    </row>
    <row r="40" customHeight="1" spans="1:22">
      <c r="A40" s="5" t="s">
        <v>1337</v>
      </c>
      <c r="B40" s="98">
        <v>19779744.02</v>
      </c>
      <c r="C40" s="98">
        <v>18720663.34</v>
      </c>
      <c r="D40" s="99">
        <f>AVERAGE(O40:Q40)</f>
        <v>6.3</v>
      </c>
      <c r="E40" s="94">
        <v>0.1</v>
      </c>
      <c r="H40" s="98">
        <v>18718956.35</v>
      </c>
      <c r="I40" s="94">
        <f t="shared" si="0"/>
        <v>5.36299999093718</v>
      </c>
      <c r="K40" s="94">
        <v>4.3</v>
      </c>
      <c r="L40" s="110">
        <v>44750.3958333333</v>
      </c>
      <c r="M40" s="111">
        <v>117</v>
      </c>
      <c r="N40" s="111">
        <v>1</v>
      </c>
      <c r="O40" s="111">
        <v>9.5</v>
      </c>
      <c r="P40" s="111">
        <v>8.9</v>
      </c>
      <c r="Q40" s="111">
        <v>0.5</v>
      </c>
      <c r="R40" s="111">
        <v>0.1</v>
      </c>
      <c r="S40" s="35" t="s">
        <v>745</v>
      </c>
      <c r="T40" t="str">
        <f t="shared" si="8"/>
        <v>=DISPIMG("ID_3A21167FE20244F68BDB5DDEBD3058E5",1)</v>
      </c>
      <c r="U40" t="s">
        <v>1309</v>
      </c>
      <c r="V40" s="5" t="s">
        <v>746</v>
      </c>
    </row>
    <row r="41" customHeight="1" spans="1:22">
      <c r="A41" s="5" t="s">
        <v>1338</v>
      </c>
      <c r="B41" s="98">
        <v>64401535.18</v>
      </c>
      <c r="D41" s="99"/>
      <c r="H41" s="98">
        <v>61013370.41</v>
      </c>
      <c r="I41" s="94">
        <f t="shared" si="0"/>
        <v>5.26100000649083</v>
      </c>
      <c r="K41" s="94">
        <v>5.2</v>
      </c>
      <c r="L41" s="110">
        <v>44742.4375</v>
      </c>
      <c r="M41" s="111">
        <v>121</v>
      </c>
      <c r="N41" s="111"/>
      <c r="O41" s="111"/>
      <c r="P41" s="111"/>
      <c r="Q41" s="111"/>
      <c r="R41" s="111"/>
      <c r="S41" s="35" t="s">
        <v>724</v>
      </c>
      <c r="T41" t="str">
        <f t="shared" si="8"/>
        <v>=DISPIMG("ID_3A21167FE20244F68BDB5DDEBD3058E5",1)</v>
      </c>
      <c r="U41" t="s">
        <v>1309</v>
      </c>
      <c r="V41" t="s">
        <v>725</v>
      </c>
    </row>
    <row r="42" customHeight="1" spans="1:22">
      <c r="A42" s="109" t="s">
        <v>1339</v>
      </c>
      <c r="B42" s="98">
        <v>6192723.15</v>
      </c>
      <c r="C42" s="98">
        <v>5891496.57</v>
      </c>
      <c r="D42" s="99">
        <f>AVERAGE(O42:Q42)</f>
        <v>3.16666666666667</v>
      </c>
      <c r="E42" s="94">
        <v>0.1</v>
      </c>
      <c r="H42" s="105">
        <v>5891137.53</v>
      </c>
      <c r="I42" s="94">
        <f t="shared" si="0"/>
        <v>4.87000004190402</v>
      </c>
      <c r="K42" s="94">
        <v>4.8</v>
      </c>
      <c r="L42" s="110">
        <v>44781.5</v>
      </c>
      <c r="M42" s="111">
        <v>119</v>
      </c>
      <c r="N42" s="111">
        <v>1</v>
      </c>
      <c r="O42" s="111">
        <v>1.3</v>
      </c>
      <c r="P42" s="111">
        <v>0.5</v>
      </c>
      <c r="Q42" s="111">
        <v>7.7</v>
      </c>
      <c r="R42" s="111">
        <v>0.1</v>
      </c>
      <c r="S42" s="35" t="s">
        <v>787</v>
      </c>
      <c r="T42" t="str">
        <f t="shared" si="8"/>
        <v>=DISPIMG("ID_3A21167FE20244F68BDB5DDEBD3058E5",1)</v>
      </c>
      <c r="U42" t="s">
        <v>1309</v>
      </c>
      <c r="V42" s="5" t="s">
        <v>788</v>
      </c>
    </row>
    <row r="43" customHeight="1" spans="1:22">
      <c r="A43" s="5" t="s">
        <v>1340</v>
      </c>
      <c r="B43" s="98">
        <v>60328015.11</v>
      </c>
      <c r="C43" s="98">
        <v>56479159.18</v>
      </c>
      <c r="D43" s="99">
        <f>AVERAGE(O43:Q43)</f>
        <v>6.53333333333333</v>
      </c>
      <c r="E43" s="94">
        <v>0.9</v>
      </c>
      <c r="H43" s="98">
        <v>56498995.58</v>
      </c>
      <c r="I43" s="94">
        <f t="shared" si="0"/>
        <v>6.34700068122298</v>
      </c>
      <c r="K43" s="94">
        <v>4.7</v>
      </c>
      <c r="L43" s="110">
        <v>44781.4583333333</v>
      </c>
      <c r="M43" s="111">
        <v>121</v>
      </c>
      <c r="N43" s="111">
        <v>2</v>
      </c>
      <c r="O43" s="111">
        <v>3.4</v>
      </c>
      <c r="P43" s="111">
        <v>9.9</v>
      </c>
      <c r="Q43" s="111">
        <v>6.3</v>
      </c>
      <c r="R43" s="111">
        <v>0.9</v>
      </c>
      <c r="S43" s="35" t="s">
        <v>784</v>
      </c>
      <c r="T43" t="str">
        <f t="shared" si="8"/>
        <v>=DISPIMG("ID_3A21167FE20244F68BDB5DDEBD3058E5",1)</v>
      </c>
      <c r="U43" t="s">
        <v>1309</v>
      </c>
      <c r="V43" s="5" t="s">
        <v>785</v>
      </c>
    </row>
    <row r="44" customHeight="1" spans="1:22">
      <c r="A44" s="108" t="s">
        <v>1341</v>
      </c>
      <c r="B44" s="98">
        <v>64110985.67</v>
      </c>
      <c r="C44" s="98">
        <v>60919468.56</v>
      </c>
      <c r="D44" s="99">
        <f>AVERAGE(O44:Q44)</f>
        <v>4.96666666666667</v>
      </c>
      <c r="E44" s="94">
        <v>0.9</v>
      </c>
      <c r="H44" s="98">
        <v>60918258.58</v>
      </c>
      <c r="I44" s="94">
        <f t="shared" si="0"/>
        <v>4.9800000056683</v>
      </c>
      <c r="K44" s="94">
        <v>5.8</v>
      </c>
      <c r="L44" s="110">
        <v>44798.4583333333</v>
      </c>
      <c r="M44" s="111">
        <v>96</v>
      </c>
      <c r="N44" s="111">
        <v>4</v>
      </c>
      <c r="O44" s="111">
        <v>2.5</v>
      </c>
      <c r="P44" s="111">
        <v>9.2</v>
      </c>
      <c r="Q44" s="111">
        <v>3.2</v>
      </c>
      <c r="R44" s="111">
        <v>0.9</v>
      </c>
      <c r="S44" s="35" t="s">
        <v>824</v>
      </c>
      <c r="T44" t="str">
        <f t="shared" si="8"/>
        <v>=DISPIMG("ID_3A21167FE20244F68BDB5DDEBD3058E5",1)</v>
      </c>
      <c r="U44" t="s">
        <v>1309</v>
      </c>
      <c r="V44" s="5" t="s">
        <v>825</v>
      </c>
    </row>
  </sheetData>
  <conditionalFormatting sqref="N1:R1">
    <cfRule type="duplicateValues" dxfId="0" priority="1"/>
  </conditionalFormatting>
  <conditionalFormatting sqref="A$1:A$1048576">
    <cfRule type="duplicateValues" dxfId="0" priority="2"/>
  </conditionalFormatting>
  <hyperlinks>
    <hyperlink ref="S5" r:id="rId1" display="https://ggj.chizhou.gov.cn/front/bidcontent/9005001004/a855150563ae4e4abc215365f285e846"/>
    <hyperlink ref="S11" r:id="rId2" display="https://ggj.chizhou.gov.cn/front/bidcontent/9005001004/9f6e551c6578420bb15a4fd1382dd97d"/>
    <hyperlink ref="S19" r:id="rId3" display="https://ggj.chizhou.gov.cn/front/bidcontent/9005001004/43190a9e52cb4de99524216f35cb0b63"/>
    <hyperlink ref="S33" r:id="rId4" display="https://ggj.chizhou.gov.cn/front/bidcontent/9005001004/80903eeb705147c9a08710ceec95fe05"/>
    <hyperlink ref="S30" r:id="rId5" display="https://ggj.chizhou.gov.cn/front/bidcontent/9005001004/de92d969c2b74e26b75d721edb53ae0d"/>
    <hyperlink ref="S36" r:id="rId6" display="https://ggj.chizhou.gov.cn/front/bidcontent/9005001004/fc73f1d6db0e46b780d025c19d9b18f1"/>
    <hyperlink ref="S3" r:id="rId7" display="https://ggj.chizhou.gov.cn/front/bidcontent/9005001004/a3bb98e4d9e5434ca6df7a2020da2240"/>
    <hyperlink ref="S4" r:id="rId8" display="https://ggj.chizhou.gov.cn/front/bidcontent/9005001004/3e65311785b34cbb8cb79c51b09f8215"/>
    <hyperlink ref="S6" r:id="rId9" display="https://ggj.chizhou.gov.cn/front/bidcontent/9005001004/d1a07f5619af40f49cfd0f8fe067ce5d"/>
    <hyperlink ref="S7" r:id="rId10" display="https://ggj.chizhou.gov.cn/front/bidcontent/9005001004/ac4187e7c00e4179b90b0a6064c64bf8"/>
    <hyperlink ref="S8" r:id="rId11" display="https://ggj.chizhou.gov.cn/front/bidcontent/9005001004/697f08906cb6482594b960ad374230ba"/>
    <hyperlink ref="S9" r:id="rId12" display="https://ggj.chizhou.gov.cn/front/bidcontent/9005001004/e879a800fa794c8c80fd6f70b1b81e85"/>
    <hyperlink ref="S10" r:id="rId13" display="https://ggj.chizhou.gov.cn/front/bidcontent/9005001004/d67ac7a6df8e4e78924ebc556acfcac0"/>
    <hyperlink ref="S12" r:id="rId14" display="https://ggj.chizhou.gov.cn/front/bidcontent/9005001004/d6ff53d4d55d4c0cb85f526692729752"/>
    <hyperlink ref="S13" r:id="rId15" display="https://ggj.chizhou.gov.cn/front/bidcontent/9005001004/baae982084b9440b910b086993caa5b0"/>
    <hyperlink ref="S14" r:id="rId16" display="https://ggj.chizhou.gov.cn/front/bidcontent/9005001004/030e3fe1d863484da8df1f924627cec6"/>
    <hyperlink ref="S15" r:id="rId17" display="https://ggj.chizhou.gov.cn/front/bidcontent/9005001004/f9cd002055084485b02b703b75e9137c"/>
    <hyperlink ref="S16" r:id="rId18" display="https://ggj.chizhou.gov.cn/front/bidcontent/9005001004/142f2d5ea17047b48a819f8c62eaa9da"/>
    <hyperlink ref="S17" r:id="rId19" display="https://ggj.chizhou.gov.cn/front/bidcontent/9005001004/139ffde044874caf8d4811f8aaf30ba8"/>
    <hyperlink ref="S18" r:id="rId20" display="https://ggj.chizhou.gov.cn/front/bidcontent/9005001004/4a7f9da16b4d49ef861249b18045c156"/>
    <hyperlink ref="S20" r:id="rId21" display="https://ggj.chizhou.gov.cn/front/bidcontent/9005001004/bc3baa4137944a3c893e4ce64279ec3c"/>
    <hyperlink ref="S21" r:id="rId22" display="https://ggj.chizhou.gov.cn/front/bidcontent/9005001004/25ce3a3ceb3048afbdb3f57057eea4d6"/>
    <hyperlink ref="S22" r:id="rId23" display="https://ggj.chizhou.gov.cn/front/bidcontent/9005001004/b9ed18da1a2141caad9a1e96c88f84ca"/>
    <hyperlink ref="S23" r:id="rId24" display="https://ggj.chizhou.gov.cn/front/bidcontent/9005001004/712d09b120c545d88907559da51085fd"/>
    <hyperlink ref="S24" r:id="rId25" display="https://ggj.chizhou.gov.cn/front/bidcontent/9005001004/0260929f7ebf4787b85a88bd031237f6"/>
    <hyperlink ref="S25" r:id="rId26" display="https://ggj.chizhou.gov.cn/front/bidcontent/9005001004/46643cdaa14249e6b6951856db9cb92c"/>
    <hyperlink ref="S26" r:id="rId27" display="https://ggj.chizhou.gov.cn/front/bidcontent/9005001004/d16188105f7740a2aa2c070a10c762da"/>
    <hyperlink ref="S27" r:id="rId28" display="https://ggj.chizhou.gov.cn/front/bidcontent/9005001004/1b0e64b4a12d444f955b57648bc8311e"/>
    <hyperlink ref="S28" r:id="rId29" display="https://ggj.chizhou.gov.cn/front/bidcontent/9005001004/65953e9aec914812b46c97454b361c7d"/>
    <hyperlink ref="S29" r:id="rId30" display="https://ggj.chizhou.gov.cn/front/bidcontent/9005001004/be105ab4080a450fa054e4dd747ed14d"/>
    <hyperlink ref="S31" r:id="rId31" display="https://ggj.chizhou.gov.cn/front/bidcontent/9005001004/088faf6b90424a4594d632998e9fe3d5"/>
    <hyperlink ref="S32" r:id="rId32" display="https://ggj.chizhou.gov.cn/front/bidcontent/9005001004/0504e778e6114b86a4399e397eae989e"/>
    <hyperlink ref="S34" r:id="rId33" display="https://ggj.chizhou.gov.cn/front/bidcontent/9005001004/2f58e806f0f0424d83497c5400a694ed"/>
    <hyperlink ref="S35" r:id="rId34" display="https://ggj.chizhou.gov.cn/front/bidcontent/9005001004/7008edc535754ec4aed1c3cac80bd7ac"/>
    <hyperlink ref="S37" r:id="rId35" display="https://ggj.chizhou.gov.cn/front/bidcontent/9005001004/a08c82520bdb4b5381aaf2b19fc84418"/>
    <hyperlink ref="S38" r:id="rId36" display="https://ggj.chizhou.gov.cn/front/bidcontent/9005001004/aa44cceba2784cd79cefc04dfe6fdcf0"/>
    <hyperlink ref="S39" r:id="rId37" display="https://ggj.chizhou.gov.cn/front/bidcontent/9005001004/73dca2d371d14bcf981b3886c30d9511"/>
    <hyperlink ref="S40" r:id="rId38" display="https://ggj.chizhou.gov.cn/front/bidcontent/9005001004/d30282a1bc934ac5bf453184309aa9cc"/>
    <hyperlink ref="S41" r:id="rId39" display="https://ggj.chizhou.gov.cn/front/bidcontent/9005001004/b6e6b3fab6a548bda57773b03918dc6d"/>
    <hyperlink ref="S42" r:id="rId40" display="https://ggj.chizhou.gov.cn/front/bidcontent/9005001004/1b73ea3e16234af8aa54e4cee4bd33c2"/>
    <hyperlink ref="S43" r:id="rId41" display="https://ggj.chizhou.gov.cn/front/bidcontent/9005001004/9f838105932d4657b83f6815949376ae"/>
    <hyperlink ref="S44" r:id="rId42" display="https://ggj.chizhou.gov.cn/front/bidcontent/9005001004/2367365576684e49ba957a40e717b6fb"/>
    <hyperlink ref="S2" r:id="rId43" display="https://ggj.chizhou.gov.cn/front/bidcontent/9005001004/f54ce8ecd0874b92ac6a49b26c640ca9"/>
  </hyperlinks>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83"/>
  <sheetViews>
    <sheetView workbookViewId="0">
      <pane ySplit="1" topLeftCell="A38" activePane="bottomLeft" state="frozen"/>
      <selection/>
      <selection pane="bottomLeft" activeCell="A1" sqref="A$1:A$1048576"/>
    </sheetView>
  </sheetViews>
  <sheetFormatPr defaultColWidth="21.25" defaultRowHeight="21" customHeight="1"/>
  <cols>
    <col min="1" max="1" width="52.375" customWidth="1"/>
    <col min="2" max="2" width="21.25" customWidth="1"/>
    <col min="3" max="3" width="15.875" customWidth="1"/>
    <col min="4" max="4" width="10.375" customWidth="1"/>
    <col min="5" max="7" width="9.125" customWidth="1"/>
    <col min="8" max="8" width="18.75" customWidth="1"/>
    <col min="9" max="9" width="15.875" customWidth="1"/>
    <col min="10" max="10" width="16.5" customWidth="1"/>
    <col min="11" max="11" width="11.25" customWidth="1"/>
    <col min="12" max="12" width="18.25" customWidth="1"/>
    <col min="13" max="13" width="11.25" customWidth="1"/>
    <col min="14" max="14" width="7.875" customWidth="1"/>
    <col min="15" max="16" width="5.375" customWidth="1"/>
    <col min="17" max="17" width="6.375" customWidth="1"/>
    <col min="18" max="18" width="4.375" customWidth="1"/>
    <col min="19" max="16384" width="21.25" customWidth="1"/>
  </cols>
  <sheetData>
    <row r="1" customHeight="1" spans="1:24">
      <c r="A1" s="9" t="s">
        <v>0</v>
      </c>
      <c r="B1" s="9" t="s">
        <v>1</v>
      </c>
      <c r="C1" s="9" t="s">
        <v>1342</v>
      </c>
      <c r="D1" s="9" t="s">
        <v>3</v>
      </c>
      <c r="E1" s="9" t="s">
        <v>4</v>
      </c>
      <c r="F1" s="16" t="s">
        <v>5</v>
      </c>
      <c r="G1" s="16" t="s">
        <v>6</v>
      </c>
      <c r="H1" s="9" t="s">
        <v>7</v>
      </c>
      <c r="I1" s="9" t="s">
        <v>8</v>
      </c>
      <c r="J1" s="9" t="s">
        <v>9</v>
      </c>
      <c r="K1" s="9" t="s">
        <v>10</v>
      </c>
      <c r="L1" s="9" t="s">
        <v>11</v>
      </c>
      <c r="M1" s="9" t="s">
        <v>12</v>
      </c>
      <c r="N1" s="9" t="s">
        <v>13</v>
      </c>
      <c r="O1" s="9" t="s">
        <v>14</v>
      </c>
      <c r="P1" s="9" t="s">
        <v>15</v>
      </c>
      <c r="Q1" s="9" t="s">
        <v>16</v>
      </c>
      <c r="R1" s="9" t="s">
        <v>17</v>
      </c>
      <c r="S1" s="9" t="s">
        <v>18</v>
      </c>
      <c r="T1" s="9" t="s">
        <v>19</v>
      </c>
      <c r="U1" s="9" t="s">
        <v>21</v>
      </c>
      <c r="V1" s="9" t="s">
        <v>22</v>
      </c>
      <c r="W1" s="9" t="s">
        <v>23</v>
      </c>
      <c r="X1" s="91"/>
    </row>
    <row r="2" customHeight="1" spans="1:20">
      <c r="A2" s="79" t="s">
        <v>24</v>
      </c>
      <c r="B2" s="80">
        <v>21471478.36</v>
      </c>
      <c r="C2" s="81"/>
      <c r="D2" s="80">
        <v>100.8</v>
      </c>
      <c r="E2" s="16">
        <v>19</v>
      </c>
      <c r="F2" s="16"/>
      <c r="G2" s="16"/>
      <c r="H2" s="80">
        <v>20215396.88</v>
      </c>
      <c r="I2" s="16">
        <f t="shared" ref="I2:I65" si="0">100-100*H2/B2</f>
        <v>5.84999998109119</v>
      </c>
      <c r="J2" s="16">
        <f>ABS(I2-K2)</f>
        <v>5.84999998109119</v>
      </c>
      <c r="K2" s="16"/>
      <c r="L2" s="89">
        <v>44104.375</v>
      </c>
      <c r="M2">
        <v>28</v>
      </c>
      <c r="S2" s="35" t="s">
        <v>25</v>
      </c>
      <c r="T2" t="str">
        <f t="shared" ref="T2:T9" si="1">_xlfn.DISPIMG("ID_A8CF580EBC2A49AE915DAA560CE19244",1)</f>
        <v>=DISPIMG("ID_A8CF580EBC2A49AE915DAA560CE19244",1)</v>
      </c>
    </row>
    <row r="3" customHeight="1" spans="1:22">
      <c r="A3" s="79" t="s">
        <v>1343</v>
      </c>
      <c r="B3" s="80">
        <v>11359060.99</v>
      </c>
      <c r="C3" s="81"/>
      <c r="D3" s="80">
        <v>102</v>
      </c>
      <c r="E3" s="16">
        <v>15</v>
      </c>
      <c r="F3" s="16"/>
      <c r="G3" s="16"/>
      <c r="H3" s="80">
        <v>9754480.04</v>
      </c>
      <c r="I3" s="16">
        <f t="shared" si="0"/>
        <v>14.1259999520436</v>
      </c>
      <c r="J3" s="16">
        <f t="shared" ref="J3:J34" si="2">ABS(I3-K3)</f>
        <v>2.1259999520436</v>
      </c>
      <c r="K3" s="80">
        <v>12</v>
      </c>
      <c r="L3" s="89">
        <v>44180.375</v>
      </c>
      <c r="S3" s="35" t="s">
        <v>28</v>
      </c>
      <c r="T3" t="str">
        <f t="shared" si="1"/>
        <v>=DISPIMG("ID_A8CF580EBC2A49AE915DAA560CE19244",1)</v>
      </c>
      <c r="U3" s="82" t="s">
        <v>1344</v>
      </c>
      <c r="V3" s="82" t="s">
        <v>30</v>
      </c>
    </row>
    <row r="4" customHeight="1" spans="1:22">
      <c r="A4" s="79" t="s">
        <v>1345</v>
      </c>
      <c r="B4" s="80">
        <v>5815322.73</v>
      </c>
      <c r="C4" s="81"/>
      <c r="D4" s="80">
        <v>98.8</v>
      </c>
      <c r="E4" s="16">
        <v>19</v>
      </c>
      <c r="F4" s="16"/>
      <c r="G4" s="16"/>
      <c r="H4" s="80">
        <v>4858483.42</v>
      </c>
      <c r="I4" s="16">
        <f t="shared" si="0"/>
        <v>16.4537611139597</v>
      </c>
      <c r="J4" s="16">
        <f t="shared" si="2"/>
        <v>6.4537611139597</v>
      </c>
      <c r="K4" s="80">
        <v>10</v>
      </c>
      <c r="L4" s="89">
        <v>44187.375</v>
      </c>
      <c r="S4" s="35" t="s">
        <v>32</v>
      </c>
      <c r="T4" t="str">
        <f t="shared" si="1"/>
        <v>=DISPIMG("ID_A8CF580EBC2A49AE915DAA560CE19244",1)</v>
      </c>
      <c r="U4" s="82" t="s">
        <v>1344</v>
      </c>
      <c r="V4" s="82" t="s">
        <v>33</v>
      </c>
    </row>
    <row r="5" customHeight="1" spans="1:22">
      <c r="A5" s="79" t="s">
        <v>1346</v>
      </c>
      <c r="B5" s="80">
        <v>8482374.1</v>
      </c>
      <c r="C5" s="81"/>
      <c r="D5" s="80">
        <v>102</v>
      </c>
      <c r="E5" s="16">
        <v>12</v>
      </c>
      <c r="F5" s="16"/>
      <c r="G5" s="16"/>
      <c r="H5" s="80">
        <v>7323653.97</v>
      </c>
      <c r="I5" s="16">
        <f t="shared" si="0"/>
        <v>13.6603280678224</v>
      </c>
      <c r="J5" s="16">
        <f t="shared" si="2"/>
        <v>0.3396719321776</v>
      </c>
      <c r="K5" s="80">
        <v>14</v>
      </c>
      <c r="L5" s="89">
        <v>44202.375</v>
      </c>
      <c r="S5" s="35" t="s">
        <v>35</v>
      </c>
      <c r="T5" t="str">
        <f t="shared" si="1"/>
        <v>=DISPIMG("ID_A8CF580EBC2A49AE915DAA560CE19244",1)</v>
      </c>
      <c r="U5" s="82" t="s">
        <v>1344</v>
      </c>
      <c r="V5" s="82" t="s">
        <v>36</v>
      </c>
    </row>
    <row r="6" customHeight="1" spans="1:22">
      <c r="A6" s="79" t="s">
        <v>1347</v>
      </c>
      <c r="B6" s="80">
        <v>47572121.02</v>
      </c>
      <c r="C6" s="81"/>
      <c r="D6" s="80">
        <v>101.6</v>
      </c>
      <c r="E6" s="16"/>
      <c r="F6" s="16"/>
      <c r="G6" s="16"/>
      <c r="H6" s="80">
        <v>45669236.18</v>
      </c>
      <c r="I6" s="16">
        <f t="shared" si="0"/>
        <v>3.99999999831834</v>
      </c>
      <c r="J6" s="16">
        <f t="shared" si="2"/>
        <v>4.00000000168166</v>
      </c>
      <c r="K6" s="80">
        <v>8</v>
      </c>
      <c r="L6" s="89">
        <v>44235.375</v>
      </c>
      <c r="S6" s="35" t="s">
        <v>43</v>
      </c>
      <c r="T6" t="str">
        <f t="shared" si="1"/>
        <v>=DISPIMG("ID_A8CF580EBC2A49AE915DAA560CE19244",1)</v>
      </c>
      <c r="U6" s="82" t="s">
        <v>1344</v>
      </c>
      <c r="V6" s="5" t="s">
        <v>44</v>
      </c>
    </row>
    <row r="7" customHeight="1" spans="1:22">
      <c r="A7" s="79" t="s">
        <v>1348</v>
      </c>
      <c r="B7" s="80">
        <v>19823775.75</v>
      </c>
      <c r="C7" s="81"/>
      <c r="D7" s="16">
        <v>101.6</v>
      </c>
      <c r="E7" s="16">
        <v>20</v>
      </c>
      <c r="F7" s="16"/>
      <c r="G7" s="16"/>
      <c r="H7" s="80">
        <v>18023182.19</v>
      </c>
      <c r="I7" s="16">
        <f t="shared" si="0"/>
        <v>9.08300004352095</v>
      </c>
      <c r="J7" s="16">
        <f t="shared" si="2"/>
        <v>5.27699995647905</v>
      </c>
      <c r="K7" s="80">
        <v>14.36</v>
      </c>
      <c r="L7" s="89">
        <v>44258.375</v>
      </c>
      <c r="M7">
        <v>172</v>
      </c>
      <c r="S7" s="35" t="s">
        <v>46</v>
      </c>
      <c r="T7" t="str">
        <f t="shared" si="1"/>
        <v>=DISPIMG("ID_A8CF580EBC2A49AE915DAA560CE19244",1)</v>
      </c>
      <c r="U7" s="82" t="s">
        <v>1344</v>
      </c>
      <c r="V7" s="82" t="s">
        <v>47</v>
      </c>
    </row>
    <row r="8" customHeight="1" spans="1:22">
      <c r="A8" s="79" t="s">
        <v>1349</v>
      </c>
      <c r="B8" s="80">
        <v>14081190.49</v>
      </c>
      <c r="C8" s="81"/>
      <c r="D8" s="80">
        <v>101.6</v>
      </c>
      <c r="E8" s="80">
        <v>16</v>
      </c>
      <c r="F8" s="80"/>
      <c r="G8" s="80"/>
      <c r="H8" s="80">
        <v>12580170.49</v>
      </c>
      <c r="I8" s="16">
        <f t="shared" si="0"/>
        <v>10.659752107366</v>
      </c>
      <c r="J8" s="16">
        <f t="shared" si="2"/>
        <v>1.640247892634</v>
      </c>
      <c r="K8" s="80">
        <v>12.3</v>
      </c>
      <c r="L8" s="89">
        <v>44258.375</v>
      </c>
      <c r="S8" s="35" t="s">
        <v>49</v>
      </c>
      <c r="T8" t="str">
        <f t="shared" si="1"/>
        <v>=DISPIMG("ID_A8CF580EBC2A49AE915DAA560CE19244",1)</v>
      </c>
      <c r="U8" s="82" t="s">
        <v>1344</v>
      </c>
      <c r="V8" s="82" t="s">
        <v>50</v>
      </c>
    </row>
    <row r="9" customHeight="1" spans="1:22">
      <c r="A9" s="79" t="s">
        <v>1350</v>
      </c>
      <c r="B9" s="80">
        <v>4700756.99</v>
      </c>
      <c r="C9" s="81"/>
      <c r="D9" s="80">
        <v>98</v>
      </c>
      <c r="E9" s="80">
        <v>12</v>
      </c>
      <c r="F9" s="80"/>
      <c r="G9" s="80"/>
      <c r="H9" s="80">
        <v>4082151.47</v>
      </c>
      <c r="I9" s="16">
        <f t="shared" si="0"/>
        <v>13.1597000507784</v>
      </c>
      <c r="J9" s="16">
        <f t="shared" si="2"/>
        <v>1.9297000507784</v>
      </c>
      <c r="K9" s="80">
        <v>11.23</v>
      </c>
      <c r="L9" s="89">
        <v>44271.3958333333</v>
      </c>
      <c r="S9" s="35" t="s">
        <v>52</v>
      </c>
      <c r="T9" t="str">
        <f t="shared" si="1"/>
        <v>=DISPIMG("ID_A8CF580EBC2A49AE915DAA560CE19244",1)</v>
      </c>
      <c r="U9" s="82" t="s">
        <v>1344</v>
      </c>
      <c r="V9" s="82" t="s">
        <v>53</v>
      </c>
    </row>
    <row r="10" customHeight="1" spans="1:22">
      <c r="A10" s="82" t="s">
        <v>1351</v>
      </c>
      <c r="B10" s="80">
        <v>10756212.43</v>
      </c>
      <c r="C10" s="81"/>
      <c r="D10" s="80">
        <f t="shared" ref="D10:D22" si="3">AVERAGE(O10:Q10)</f>
        <v>7.46666666666667</v>
      </c>
      <c r="E10" s="80">
        <f t="shared" ref="E10:E22" si="4">R10</f>
        <v>0.7</v>
      </c>
      <c r="F10" s="80"/>
      <c r="G10" s="80"/>
      <c r="H10" s="80">
        <v>9973160.17</v>
      </c>
      <c r="I10" s="16">
        <f t="shared" si="0"/>
        <v>7.27999995440774</v>
      </c>
      <c r="J10" s="16">
        <f t="shared" si="2"/>
        <v>3.50000004559226</v>
      </c>
      <c r="K10" s="80">
        <v>10.78</v>
      </c>
      <c r="L10" s="89">
        <v>44679.375</v>
      </c>
      <c r="M10">
        <v>125</v>
      </c>
      <c r="N10">
        <v>2</v>
      </c>
      <c r="O10">
        <v>2.4</v>
      </c>
      <c r="P10">
        <v>5.6</v>
      </c>
      <c r="Q10">
        <v>14.4</v>
      </c>
      <c r="R10">
        <v>0.7</v>
      </c>
      <c r="S10" s="35" t="s">
        <v>622</v>
      </c>
      <c r="T10" t="str">
        <f t="shared" ref="T10:T22" si="5">_xlfn.DISPIMG("ID_39A08211ED6A4076AB89912F4CD96E32",1)</f>
        <v>=DISPIMG("ID_39A08211ED6A4076AB89912F4CD96E32",1)</v>
      </c>
      <c r="U10" s="82" t="s">
        <v>1344</v>
      </c>
      <c r="V10" s="5" t="s">
        <v>624</v>
      </c>
    </row>
    <row r="11" customHeight="1" spans="1:22">
      <c r="A11" s="5" t="s">
        <v>625</v>
      </c>
      <c r="B11" s="80">
        <v>4645489.71</v>
      </c>
      <c r="C11" s="81"/>
      <c r="D11" s="80">
        <f t="shared" si="3"/>
        <v>3.16666666666667</v>
      </c>
      <c r="E11" s="80">
        <f t="shared" si="4"/>
        <v>0.5</v>
      </c>
      <c r="F11" s="80"/>
      <c r="G11" s="80"/>
      <c r="H11" s="80">
        <v>4438440.23</v>
      </c>
      <c r="I11" s="16">
        <f t="shared" si="0"/>
        <v>4.45700007803912</v>
      </c>
      <c r="J11" s="16">
        <f t="shared" si="2"/>
        <v>5.90299992196088</v>
      </c>
      <c r="K11" s="80">
        <v>10.36</v>
      </c>
      <c r="L11" s="89">
        <v>44687.3958333333</v>
      </c>
      <c r="M11">
        <v>126</v>
      </c>
      <c r="N11">
        <v>1</v>
      </c>
      <c r="O11">
        <v>1.3</v>
      </c>
      <c r="P11">
        <v>0.5</v>
      </c>
      <c r="Q11">
        <v>7.7</v>
      </c>
      <c r="R11">
        <v>0.5</v>
      </c>
      <c r="S11" s="35" t="s">
        <v>626</v>
      </c>
      <c r="T11" t="str">
        <f t="shared" si="5"/>
        <v>=DISPIMG("ID_39A08211ED6A4076AB89912F4CD96E32",1)</v>
      </c>
      <c r="U11" s="82" t="s">
        <v>1344</v>
      </c>
      <c r="V11" s="82" t="s">
        <v>627</v>
      </c>
    </row>
    <row r="12" customHeight="1" spans="1:22">
      <c r="A12" s="82" t="s">
        <v>1352</v>
      </c>
      <c r="B12" s="80">
        <v>4174800.24</v>
      </c>
      <c r="C12" s="81"/>
      <c r="D12" s="80">
        <f t="shared" si="3"/>
        <v>3.33333333333333</v>
      </c>
      <c r="E12" s="80">
        <f t="shared" si="4"/>
        <v>0.7</v>
      </c>
      <c r="F12" s="80"/>
      <c r="G12" s="80"/>
      <c r="H12" s="80">
        <v>3978542.88</v>
      </c>
      <c r="I12" s="16">
        <f t="shared" si="0"/>
        <v>4.70100001718885</v>
      </c>
      <c r="J12" s="16">
        <f t="shared" si="2"/>
        <v>2.61899998281115</v>
      </c>
      <c r="K12" s="80">
        <v>7.32</v>
      </c>
      <c r="L12" s="89">
        <v>44687.3958333333</v>
      </c>
      <c r="M12">
        <v>125</v>
      </c>
      <c r="N12">
        <v>1</v>
      </c>
      <c r="O12">
        <v>5.8</v>
      </c>
      <c r="P12">
        <v>2.7</v>
      </c>
      <c r="Q12">
        <v>1.5</v>
      </c>
      <c r="R12">
        <v>0.7</v>
      </c>
      <c r="S12" s="35" t="s">
        <v>629</v>
      </c>
      <c r="T12" t="str">
        <f t="shared" si="5"/>
        <v>=DISPIMG("ID_39A08211ED6A4076AB89912F4CD96E32",1)</v>
      </c>
      <c r="U12" s="82" t="s">
        <v>1344</v>
      </c>
      <c r="V12" s="82" t="s">
        <v>630</v>
      </c>
    </row>
    <row r="13" customHeight="1" spans="1:22">
      <c r="A13" s="82" t="s">
        <v>1353</v>
      </c>
      <c r="B13" s="80">
        <v>6311229.08</v>
      </c>
      <c r="C13" s="81">
        <v>5870984.31</v>
      </c>
      <c r="D13" s="80">
        <f t="shared" si="3"/>
        <v>8.06666666666667</v>
      </c>
      <c r="E13" s="80">
        <f t="shared" si="4"/>
        <v>0.3</v>
      </c>
      <c r="F13" s="80"/>
      <c r="G13" s="80"/>
      <c r="H13" s="80">
        <v>5869569.27</v>
      </c>
      <c r="I13" s="16">
        <f t="shared" si="0"/>
        <v>6.99799998386368</v>
      </c>
      <c r="J13" s="16">
        <f t="shared" si="2"/>
        <v>0.11799998386368</v>
      </c>
      <c r="K13" s="80">
        <v>6.88</v>
      </c>
      <c r="L13" s="89">
        <v>44688.3958333333</v>
      </c>
      <c r="M13">
        <v>122</v>
      </c>
      <c r="N13">
        <v>4</v>
      </c>
      <c r="O13">
        <v>9.1</v>
      </c>
      <c r="P13">
        <v>1.2</v>
      </c>
      <c r="Q13">
        <v>13.9</v>
      </c>
      <c r="R13">
        <v>0.3</v>
      </c>
      <c r="S13" s="35" t="s">
        <v>638</v>
      </c>
      <c r="T13" t="str">
        <f t="shared" si="5"/>
        <v>=DISPIMG("ID_39A08211ED6A4076AB89912F4CD96E32",1)</v>
      </c>
      <c r="U13" s="82" t="s">
        <v>1344</v>
      </c>
      <c r="V13" s="92" t="s">
        <v>639</v>
      </c>
    </row>
    <row r="14" customHeight="1" spans="1:22">
      <c r="A14" s="83" t="s">
        <v>1354</v>
      </c>
      <c r="B14" s="80">
        <v>5095949.41</v>
      </c>
      <c r="C14" s="81"/>
      <c r="D14" s="80">
        <f t="shared" si="3"/>
        <v>7.96666666666667</v>
      </c>
      <c r="E14" s="80">
        <f t="shared" si="4"/>
        <v>0.7</v>
      </c>
      <c r="F14" s="80"/>
      <c r="G14" s="80"/>
      <c r="H14" s="80">
        <v>4695356.83</v>
      </c>
      <c r="I14" s="16">
        <f t="shared" si="0"/>
        <v>7.86099993877295</v>
      </c>
      <c r="J14" s="16">
        <f t="shared" si="2"/>
        <v>0.43099993877295</v>
      </c>
      <c r="K14" s="80">
        <v>7.43</v>
      </c>
      <c r="L14" s="89">
        <v>44690.375</v>
      </c>
      <c r="M14">
        <v>115</v>
      </c>
      <c r="N14">
        <v>2</v>
      </c>
      <c r="O14">
        <v>4.2</v>
      </c>
      <c r="P14">
        <v>6.5</v>
      </c>
      <c r="Q14">
        <v>13.2</v>
      </c>
      <c r="R14">
        <v>0.7</v>
      </c>
      <c r="S14" s="35" t="s">
        <v>641</v>
      </c>
      <c r="T14" t="str">
        <f t="shared" si="5"/>
        <v>=DISPIMG("ID_39A08211ED6A4076AB89912F4CD96E32",1)</v>
      </c>
      <c r="U14" s="82" t="s">
        <v>1344</v>
      </c>
      <c r="V14" s="5" t="s">
        <v>642</v>
      </c>
    </row>
    <row r="15" customHeight="1" spans="1:22">
      <c r="A15" s="82" t="s">
        <v>1355</v>
      </c>
      <c r="B15" s="80">
        <v>4730853.24</v>
      </c>
      <c r="C15" s="81"/>
      <c r="D15" s="80">
        <f t="shared" si="3"/>
        <v>11.9666666666667</v>
      </c>
      <c r="E15" s="80">
        <f t="shared" si="4"/>
        <v>0.7</v>
      </c>
      <c r="F15" s="80"/>
      <c r="G15" s="80"/>
      <c r="H15" s="80">
        <v>4238134.88</v>
      </c>
      <c r="I15" s="16">
        <f t="shared" si="0"/>
        <v>10.4149998954523</v>
      </c>
      <c r="J15" s="16">
        <f t="shared" si="2"/>
        <v>4.0449998954523</v>
      </c>
      <c r="K15" s="80">
        <v>6.37</v>
      </c>
      <c r="L15" s="89">
        <v>44698.3958333333</v>
      </c>
      <c r="M15">
        <v>123</v>
      </c>
      <c r="N15">
        <v>3</v>
      </c>
      <c r="O15">
        <v>14.7</v>
      </c>
      <c r="P15">
        <v>12.4</v>
      </c>
      <c r="Q15">
        <v>8.8</v>
      </c>
      <c r="R15">
        <v>0.7</v>
      </c>
      <c r="S15" s="35" t="s">
        <v>653</v>
      </c>
      <c r="T15" t="str">
        <f t="shared" si="5"/>
        <v>=DISPIMG("ID_39A08211ED6A4076AB89912F4CD96E32",1)</v>
      </c>
      <c r="U15" s="82" t="s">
        <v>1344</v>
      </c>
      <c r="V15" s="92" t="s">
        <v>654</v>
      </c>
    </row>
    <row r="16" customHeight="1" spans="1:22">
      <c r="A16" s="82" t="s">
        <v>1356</v>
      </c>
      <c r="B16" s="80">
        <v>4015699.3</v>
      </c>
      <c r="C16" s="81"/>
      <c r="D16" s="80">
        <f t="shared" si="3"/>
        <v>10.3666666666667</v>
      </c>
      <c r="E16" s="80">
        <f t="shared" si="4"/>
        <v>0.7</v>
      </c>
      <c r="F16" s="80"/>
      <c r="G16" s="80"/>
      <c r="H16" s="80">
        <v>3634047.24</v>
      </c>
      <c r="I16" s="16">
        <f t="shared" si="0"/>
        <v>9.50399996334386</v>
      </c>
      <c r="J16" s="16">
        <f t="shared" si="2"/>
        <v>1.04399996334386</v>
      </c>
      <c r="K16" s="80">
        <v>8.46</v>
      </c>
      <c r="L16" s="89">
        <v>44699.375</v>
      </c>
      <c r="M16">
        <v>123</v>
      </c>
      <c r="N16">
        <v>1</v>
      </c>
      <c r="O16">
        <v>7.2</v>
      </c>
      <c r="P16">
        <v>13</v>
      </c>
      <c r="Q16">
        <v>10.9</v>
      </c>
      <c r="R16">
        <v>0.7</v>
      </c>
      <c r="S16" s="35" t="s">
        <v>656</v>
      </c>
      <c r="T16" t="str">
        <f t="shared" si="5"/>
        <v>=DISPIMG("ID_39A08211ED6A4076AB89912F4CD96E32",1)</v>
      </c>
      <c r="U16" s="82" t="s">
        <v>1344</v>
      </c>
      <c r="V16" s="82" t="s">
        <v>657</v>
      </c>
    </row>
    <row r="17" customHeight="1" spans="1:22">
      <c r="A17" s="82" t="s">
        <v>1357</v>
      </c>
      <c r="B17" s="80">
        <v>7724163.71</v>
      </c>
      <c r="C17" s="81">
        <v>7161426.18</v>
      </c>
      <c r="D17" s="80">
        <f t="shared" si="3"/>
        <v>5.86666666666667</v>
      </c>
      <c r="E17" s="80">
        <f t="shared" si="4"/>
        <v>0.1</v>
      </c>
      <c r="F17" s="80"/>
      <c r="G17" s="80"/>
      <c r="H17" s="80">
        <v>7159295.62</v>
      </c>
      <c r="I17" s="16">
        <f t="shared" si="0"/>
        <v>7.31299997265334</v>
      </c>
      <c r="J17" s="16">
        <f t="shared" si="2"/>
        <v>7.31299997265334</v>
      </c>
      <c r="K17" s="80"/>
      <c r="L17" s="89">
        <v>44699.3958333333</v>
      </c>
      <c r="M17">
        <v>130</v>
      </c>
      <c r="N17">
        <v>2</v>
      </c>
      <c r="O17">
        <v>8.3</v>
      </c>
      <c r="P17">
        <v>5.6</v>
      </c>
      <c r="Q17">
        <v>3.7</v>
      </c>
      <c r="R17">
        <v>0.1</v>
      </c>
      <c r="S17" s="35" t="s">
        <v>659</v>
      </c>
      <c r="T17" t="str">
        <f t="shared" si="5"/>
        <v>=DISPIMG("ID_39A08211ED6A4076AB89912F4CD96E32",1)</v>
      </c>
      <c r="U17" s="82" t="s">
        <v>1344</v>
      </c>
      <c r="V17" s="5" t="s">
        <v>660</v>
      </c>
    </row>
    <row r="18" customHeight="1" spans="1:22">
      <c r="A18" s="82" t="s">
        <v>1358</v>
      </c>
      <c r="B18" s="80">
        <v>8952235.76</v>
      </c>
      <c r="C18" s="81">
        <v>8323273.29</v>
      </c>
      <c r="D18" s="80">
        <f t="shared" si="3"/>
        <v>6.36666666666667</v>
      </c>
      <c r="E18" s="80">
        <f t="shared" si="4"/>
        <v>0.5</v>
      </c>
      <c r="F18" s="80"/>
      <c r="G18" s="80"/>
      <c r="H18" s="80">
        <v>8323341.19</v>
      </c>
      <c r="I18" s="16">
        <f t="shared" si="0"/>
        <v>7.0250000877993</v>
      </c>
      <c r="J18" s="16">
        <f t="shared" si="2"/>
        <v>7.0250000877993</v>
      </c>
      <c r="K18" s="80"/>
      <c r="L18" s="89">
        <v>44700.375</v>
      </c>
      <c r="M18">
        <v>110</v>
      </c>
      <c r="N18">
        <v>4</v>
      </c>
      <c r="O18">
        <v>11.7</v>
      </c>
      <c r="P18">
        <v>6.2</v>
      </c>
      <c r="Q18">
        <v>1.2</v>
      </c>
      <c r="R18">
        <v>0.5</v>
      </c>
      <c r="S18" s="35" t="s">
        <v>662</v>
      </c>
      <c r="T18" t="str">
        <f t="shared" si="5"/>
        <v>=DISPIMG("ID_39A08211ED6A4076AB89912F4CD96E32",1)</v>
      </c>
      <c r="U18" s="82" t="s">
        <v>1344</v>
      </c>
      <c r="V18" s="82" t="s">
        <v>663</v>
      </c>
    </row>
    <row r="19" customHeight="1" spans="1:22">
      <c r="A19" s="82" t="s">
        <v>1359</v>
      </c>
      <c r="B19" s="80">
        <v>7060539.3</v>
      </c>
      <c r="C19" s="81">
        <v>6594775.8</v>
      </c>
      <c r="D19" s="80">
        <f t="shared" si="3"/>
        <v>6.06666666666667</v>
      </c>
      <c r="E19" s="80">
        <f t="shared" si="4"/>
        <v>0.5</v>
      </c>
      <c r="F19" s="80"/>
      <c r="G19" s="80"/>
      <c r="H19" s="80">
        <v>6595744</v>
      </c>
      <c r="I19" s="16">
        <f t="shared" si="0"/>
        <v>6.58299996998812</v>
      </c>
      <c r="J19" s="16">
        <f t="shared" si="2"/>
        <v>1.07700003001188</v>
      </c>
      <c r="K19" s="80">
        <v>7.66</v>
      </c>
      <c r="L19" s="89">
        <v>44701.375</v>
      </c>
      <c r="M19">
        <v>124</v>
      </c>
      <c r="N19">
        <v>2</v>
      </c>
      <c r="O19" s="90">
        <v>9</v>
      </c>
      <c r="P19">
        <v>0.9</v>
      </c>
      <c r="Q19">
        <v>8.3</v>
      </c>
      <c r="R19">
        <v>0.5</v>
      </c>
      <c r="S19" s="35" t="s">
        <v>665</v>
      </c>
      <c r="T19" t="str">
        <f t="shared" si="5"/>
        <v>=DISPIMG("ID_39A08211ED6A4076AB89912F4CD96E32",1)</v>
      </c>
      <c r="U19" s="82" t="s">
        <v>1344</v>
      </c>
      <c r="V19" s="82" t="s">
        <v>666</v>
      </c>
    </row>
    <row r="20" customHeight="1" spans="1:22">
      <c r="A20" s="82" t="s">
        <v>1360</v>
      </c>
      <c r="B20" s="80">
        <v>12837438.74</v>
      </c>
      <c r="C20" s="81">
        <v>11617133.05</v>
      </c>
      <c r="D20" s="80">
        <f t="shared" si="3"/>
        <v>9.73333333333333</v>
      </c>
      <c r="E20" s="80">
        <f t="shared" si="4"/>
        <v>0.9</v>
      </c>
      <c r="F20" s="80"/>
      <c r="G20" s="80"/>
      <c r="H20" s="80">
        <v>11617882.06</v>
      </c>
      <c r="I20" s="16">
        <f t="shared" si="0"/>
        <v>9.49999999766308</v>
      </c>
      <c r="J20" s="16">
        <f t="shared" si="2"/>
        <v>3.61999999766308</v>
      </c>
      <c r="K20" s="80">
        <v>5.88</v>
      </c>
      <c r="L20" s="89">
        <v>44701.3958333333</v>
      </c>
      <c r="M20">
        <v>116</v>
      </c>
      <c r="N20">
        <v>2</v>
      </c>
      <c r="O20" s="90">
        <v>9</v>
      </c>
      <c r="P20">
        <v>8.3</v>
      </c>
      <c r="Q20">
        <v>11.9</v>
      </c>
      <c r="R20">
        <v>0.9</v>
      </c>
      <c r="S20" s="35" t="s">
        <v>670</v>
      </c>
      <c r="T20" t="str">
        <f t="shared" si="5"/>
        <v>=DISPIMG("ID_39A08211ED6A4076AB89912F4CD96E32",1)</v>
      </c>
      <c r="U20" s="82" t="s">
        <v>1344</v>
      </c>
      <c r="V20" s="82" t="s">
        <v>671</v>
      </c>
    </row>
    <row r="21" customHeight="1" spans="1:24">
      <c r="A21" s="82" t="s">
        <v>1361</v>
      </c>
      <c r="B21" s="80">
        <v>4725164.62</v>
      </c>
      <c r="C21" s="81"/>
      <c r="D21" s="80">
        <f t="shared" si="3"/>
        <v>3</v>
      </c>
      <c r="E21" s="80">
        <f t="shared" si="4"/>
        <v>0.1</v>
      </c>
      <c r="F21" s="80"/>
      <c r="G21" s="80"/>
      <c r="H21" s="80">
        <v>4416327.86</v>
      </c>
      <c r="I21" s="16">
        <f t="shared" si="0"/>
        <v>6.53600000924411</v>
      </c>
      <c r="J21" s="16">
        <f t="shared" si="2"/>
        <v>2.66399999075589</v>
      </c>
      <c r="K21" s="80">
        <v>9.2</v>
      </c>
      <c r="L21" s="89">
        <v>44701.3958333333</v>
      </c>
      <c r="M21">
        <v>111</v>
      </c>
      <c r="N21">
        <v>1</v>
      </c>
      <c r="O21">
        <v>5.8</v>
      </c>
      <c r="P21">
        <v>0.5</v>
      </c>
      <c r="Q21">
        <v>2.7</v>
      </c>
      <c r="R21">
        <v>0.1</v>
      </c>
      <c r="S21" s="35" t="s">
        <v>673</v>
      </c>
      <c r="T21" t="str">
        <f t="shared" si="5"/>
        <v>=DISPIMG("ID_39A08211ED6A4076AB89912F4CD96E32",1)</v>
      </c>
      <c r="U21" s="82" t="s">
        <v>1344</v>
      </c>
      <c r="V21" s="92" t="s">
        <v>674</v>
      </c>
      <c r="X21" s="13"/>
    </row>
    <row r="22" customHeight="1" spans="1:22">
      <c r="A22" s="84" t="s">
        <v>1362</v>
      </c>
      <c r="B22" s="80">
        <v>14271322.35</v>
      </c>
      <c r="C22" s="81"/>
      <c r="D22" s="80">
        <f t="shared" si="3"/>
        <v>4.1</v>
      </c>
      <c r="E22" s="80">
        <f t="shared" si="4"/>
        <v>0.1</v>
      </c>
      <c r="F22" s="80"/>
      <c r="G22" s="80"/>
      <c r="H22" s="80">
        <v>13342915.56</v>
      </c>
      <c r="I22" s="16">
        <f t="shared" si="0"/>
        <v>6.5054013022136</v>
      </c>
      <c r="J22" s="16">
        <f t="shared" si="2"/>
        <v>0.2945986977864</v>
      </c>
      <c r="K22" s="80">
        <v>6.8</v>
      </c>
      <c r="L22" s="89">
        <v>44711.3958333333</v>
      </c>
      <c r="M22">
        <v>131</v>
      </c>
      <c r="N22">
        <v>3</v>
      </c>
      <c r="O22">
        <v>7.6</v>
      </c>
      <c r="P22">
        <v>0.7</v>
      </c>
      <c r="Q22">
        <v>4</v>
      </c>
      <c r="R22">
        <v>0.1</v>
      </c>
      <c r="S22" s="35" t="s">
        <v>676</v>
      </c>
      <c r="T22" t="str">
        <f t="shared" si="5"/>
        <v>=DISPIMG("ID_39A08211ED6A4076AB89912F4CD96E32",1)</v>
      </c>
      <c r="U22" s="82" t="s">
        <v>1344</v>
      </c>
      <c r="V22" s="82" t="s">
        <v>677</v>
      </c>
    </row>
    <row r="23" customHeight="1" spans="1:22">
      <c r="A23" s="85" t="s">
        <v>1363</v>
      </c>
      <c r="B23" s="80">
        <v>24908800</v>
      </c>
      <c r="C23" s="81"/>
      <c r="D23" s="80">
        <v>99.6</v>
      </c>
      <c r="E23" s="80"/>
      <c r="F23" s="80"/>
      <c r="G23" s="80"/>
      <c r="H23" s="80">
        <v>23638451</v>
      </c>
      <c r="I23" s="16">
        <f t="shared" si="0"/>
        <v>5.10000080292909</v>
      </c>
      <c r="J23" s="16">
        <f t="shared" si="2"/>
        <v>0.53999919707091</v>
      </c>
      <c r="K23" s="80">
        <v>5.64</v>
      </c>
      <c r="L23" s="89">
        <v>44712.3958333333</v>
      </c>
      <c r="M23">
        <v>6</v>
      </c>
      <c r="S23" s="35" t="s">
        <v>679</v>
      </c>
      <c r="T23" t="str">
        <f>_xlfn.DISPIMG("ID_A8CF580EBC2A49AE915DAA560CE19244",1)</f>
        <v>=DISPIMG("ID_A8CF580EBC2A49AE915DAA560CE19244",1)</v>
      </c>
      <c r="U23" s="82" t="s">
        <v>1344</v>
      </c>
      <c r="V23" s="93" t="s">
        <v>680</v>
      </c>
    </row>
    <row r="24" customHeight="1" spans="1:22">
      <c r="A24" s="82" t="s">
        <v>1364</v>
      </c>
      <c r="B24" s="80">
        <v>1915946.64</v>
      </c>
      <c r="C24" s="81"/>
      <c r="D24" s="80">
        <f t="shared" ref="D24:D30" si="6">AVERAGE(O24:Q24)</f>
        <v>8.86666666666667</v>
      </c>
      <c r="E24" s="80">
        <f t="shared" ref="E24:E30" si="7">R24</f>
        <v>0.1</v>
      </c>
      <c r="F24" s="80"/>
      <c r="G24" s="80"/>
      <c r="H24" s="80">
        <v>1775699.36</v>
      </c>
      <c r="I24" s="16">
        <f t="shared" si="0"/>
        <v>7.31999926678542</v>
      </c>
      <c r="J24" s="16">
        <f t="shared" si="2"/>
        <v>2.18000073321458</v>
      </c>
      <c r="K24" s="80">
        <v>9.5</v>
      </c>
      <c r="L24" s="89">
        <v>44722.4166666667</v>
      </c>
      <c r="M24">
        <v>114</v>
      </c>
      <c r="N24">
        <v>1</v>
      </c>
      <c r="O24">
        <v>4.2</v>
      </c>
      <c r="P24">
        <v>9.9</v>
      </c>
      <c r="Q24">
        <v>12.5</v>
      </c>
      <c r="R24">
        <v>0.1</v>
      </c>
      <c r="S24" t="s">
        <v>693</v>
      </c>
      <c r="T24" t="str">
        <f t="shared" ref="T24:T26" si="8">_xlfn.DISPIMG("ID_39A08211ED6A4076AB89912F4CD96E32",1)</f>
        <v>=DISPIMG("ID_39A08211ED6A4076AB89912F4CD96E32",1)</v>
      </c>
      <c r="U24" s="82" t="s">
        <v>1344</v>
      </c>
      <c r="V24" s="92" t="s">
        <v>694</v>
      </c>
    </row>
    <row r="25" customHeight="1" spans="1:22">
      <c r="A25" s="82" t="s">
        <v>1365</v>
      </c>
      <c r="B25" s="80">
        <v>10436795.81</v>
      </c>
      <c r="C25" s="81"/>
      <c r="D25" s="80">
        <f t="shared" si="6"/>
        <v>8.3</v>
      </c>
      <c r="E25" s="80">
        <v>0.1</v>
      </c>
      <c r="F25" s="80"/>
      <c r="G25" s="80"/>
      <c r="H25" s="80">
        <v>9701732.28</v>
      </c>
      <c r="I25" s="16">
        <f t="shared" si="0"/>
        <v>7.04300001055594</v>
      </c>
      <c r="J25" s="16">
        <f t="shared" si="2"/>
        <v>0.54300001055594</v>
      </c>
      <c r="K25" s="80">
        <v>6.5</v>
      </c>
      <c r="L25" s="89">
        <v>44726.375</v>
      </c>
      <c r="M25">
        <v>129</v>
      </c>
      <c r="N25">
        <v>4</v>
      </c>
      <c r="O25">
        <v>3.6</v>
      </c>
      <c r="P25">
        <v>6.3</v>
      </c>
      <c r="Q25">
        <v>15</v>
      </c>
      <c r="R25">
        <v>0.1</v>
      </c>
      <c r="S25" s="35" t="s">
        <v>696</v>
      </c>
      <c r="T25" t="str">
        <f t="shared" si="8"/>
        <v>=DISPIMG("ID_39A08211ED6A4076AB89912F4CD96E32",1)</v>
      </c>
      <c r="U25" s="82" t="s">
        <v>1344</v>
      </c>
      <c r="V25" s="87" t="s">
        <v>697</v>
      </c>
    </row>
    <row r="26" customHeight="1" spans="1:22">
      <c r="A26" s="51" t="s">
        <v>1366</v>
      </c>
      <c r="B26" s="80">
        <v>33263202.3</v>
      </c>
      <c r="C26" s="81"/>
      <c r="D26" s="80">
        <f t="shared" si="6"/>
        <v>7.86666666666667</v>
      </c>
      <c r="E26" s="80"/>
      <c r="F26" s="80"/>
      <c r="G26" s="80"/>
      <c r="H26" s="80">
        <v>30603475.71</v>
      </c>
      <c r="I26" s="16">
        <f t="shared" si="0"/>
        <v>7.99600280818423</v>
      </c>
      <c r="J26" s="16">
        <f t="shared" si="2"/>
        <v>3.19600280818423</v>
      </c>
      <c r="K26" s="80">
        <v>4.8</v>
      </c>
      <c r="L26" s="89">
        <v>44727.375</v>
      </c>
      <c r="M26">
        <v>35</v>
      </c>
      <c r="N26">
        <v>2</v>
      </c>
      <c r="O26">
        <v>0.9</v>
      </c>
      <c r="P26">
        <v>14.4</v>
      </c>
      <c r="Q26">
        <v>8.3</v>
      </c>
      <c r="S26" s="35" t="s">
        <v>702</v>
      </c>
      <c r="T26" t="str">
        <f t="shared" si="8"/>
        <v>=DISPIMG("ID_39A08211ED6A4076AB89912F4CD96E32",1)</v>
      </c>
      <c r="U26" s="82" t="s">
        <v>1344</v>
      </c>
      <c r="V26" s="86" t="s">
        <v>703</v>
      </c>
    </row>
    <row r="27" customHeight="1" spans="1:22">
      <c r="A27" s="82" t="s">
        <v>1367</v>
      </c>
      <c r="B27" s="80">
        <v>10196443.51</v>
      </c>
      <c r="C27" s="81"/>
      <c r="D27" s="80">
        <f t="shared" si="6"/>
        <v>8.83333333333333</v>
      </c>
      <c r="E27" s="80">
        <f t="shared" si="7"/>
        <v>0.1</v>
      </c>
      <c r="F27" s="80"/>
      <c r="G27" s="80"/>
      <c r="H27" s="80">
        <v>9480082.16</v>
      </c>
      <c r="I27" s="16">
        <f t="shared" si="0"/>
        <v>7.02560014477048</v>
      </c>
      <c r="J27" s="16">
        <f t="shared" si="2"/>
        <v>3.27439985522952</v>
      </c>
      <c r="K27" s="80">
        <v>10.3</v>
      </c>
      <c r="L27" s="89">
        <v>44727.375</v>
      </c>
      <c r="M27">
        <v>126</v>
      </c>
      <c r="N27">
        <v>4</v>
      </c>
      <c r="O27">
        <v>7.9</v>
      </c>
      <c r="P27">
        <v>13.9</v>
      </c>
      <c r="Q27">
        <v>4.7</v>
      </c>
      <c r="R27">
        <v>0.1</v>
      </c>
      <c r="S27" t="s">
        <v>699</v>
      </c>
      <c r="T27" t="str">
        <f t="shared" ref="T27:T30" si="9">_xlfn.DISPIMG("ID_9BE6A68DE9864E859F85E2B55345DA88",1)</f>
        <v>=DISPIMG("ID_9BE6A68DE9864E859F85E2B55345DA88",1)</v>
      </c>
      <c r="U27" s="82" t="s">
        <v>1344</v>
      </c>
      <c r="V27" s="92" t="s">
        <v>700</v>
      </c>
    </row>
    <row r="28" customHeight="1" spans="1:22">
      <c r="A28" s="86" t="s">
        <v>1368</v>
      </c>
      <c r="B28" s="80">
        <v>32709519.64</v>
      </c>
      <c r="C28" s="81"/>
      <c r="D28" s="80">
        <f t="shared" si="6"/>
        <v>6.06666666666667</v>
      </c>
      <c r="E28" s="80"/>
      <c r="F28" s="80"/>
      <c r="G28" s="80"/>
      <c r="H28" s="80">
        <v>30685454.56</v>
      </c>
      <c r="I28" s="16">
        <f t="shared" si="0"/>
        <v>6.18800001429798</v>
      </c>
      <c r="J28" s="16">
        <f t="shared" si="2"/>
        <v>1.27199998570202</v>
      </c>
      <c r="K28" s="80">
        <v>7.46</v>
      </c>
      <c r="L28" s="89">
        <v>44728.375</v>
      </c>
      <c r="M28">
        <v>33</v>
      </c>
      <c r="N28">
        <v>1</v>
      </c>
      <c r="O28">
        <v>11.3</v>
      </c>
      <c r="P28">
        <v>4.2</v>
      </c>
      <c r="Q28">
        <v>2.7</v>
      </c>
      <c r="S28" s="35" t="s">
        <v>711</v>
      </c>
      <c r="T28" t="str">
        <f t="shared" si="9"/>
        <v>=DISPIMG("ID_9BE6A68DE9864E859F85E2B55345DA88",1)</v>
      </c>
      <c r="U28" s="82" t="s">
        <v>1344</v>
      </c>
      <c r="V28" s="86" t="s">
        <v>712</v>
      </c>
    </row>
    <row r="29" customHeight="1" spans="1:22">
      <c r="A29" s="86" t="s">
        <v>1369</v>
      </c>
      <c r="B29" s="80">
        <v>34205833.17</v>
      </c>
      <c r="C29" s="81"/>
      <c r="D29" s="80">
        <f t="shared" si="6"/>
        <v>5.06666666666667</v>
      </c>
      <c r="E29" s="80">
        <f t="shared" si="7"/>
        <v>0.1</v>
      </c>
      <c r="F29" s="80"/>
      <c r="G29" s="80"/>
      <c r="H29" s="80">
        <v>30453453.1</v>
      </c>
      <c r="I29" s="16">
        <f t="shared" si="0"/>
        <v>10.9700005006485</v>
      </c>
      <c r="J29" s="16">
        <f t="shared" si="2"/>
        <v>3.9700005006485</v>
      </c>
      <c r="K29" s="80">
        <v>7</v>
      </c>
      <c r="L29" s="89">
        <v>44728.375</v>
      </c>
      <c r="M29">
        <v>62</v>
      </c>
      <c r="N29">
        <v>2</v>
      </c>
      <c r="O29">
        <v>2.4</v>
      </c>
      <c r="P29">
        <v>0.9</v>
      </c>
      <c r="Q29">
        <v>11.9</v>
      </c>
      <c r="R29">
        <v>0.1</v>
      </c>
      <c r="S29" t="s">
        <v>709</v>
      </c>
      <c r="T29" t="str">
        <f t="shared" si="9"/>
        <v>=DISPIMG("ID_9BE6A68DE9864E859F85E2B55345DA88",1)</v>
      </c>
      <c r="U29" s="82" t="s">
        <v>1344</v>
      </c>
      <c r="V29" s="86" t="s">
        <v>703</v>
      </c>
    </row>
    <row r="30" customHeight="1" spans="1:22">
      <c r="A30" s="87" t="s">
        <v>1370</v>
      </c>
      <c r="B30" s="80">
        <v>16237336.07</v>
      </c>
      <c r="C30" s="81">
        <v>14320836.64</v>
      </c>
      <c r="D30" s="80">
        <f t="shared" si="6"/>
        <v>18</v>
      </c>
      <c r="E30" s="80">
        <f t="shared" si="7"/>
        <v>0.5</v>
      </c>
      <c r="F30" s="80"/>
      <c r="G30" s="80"/>
      <c r="H30" s="80">
        <v>14319544.18</v>
      </c>
      <c r="I30" s="16">
        <f t="shared" si="0"/>
        <v>11.8110007807457</v>
      </c>
      <c r="J30" s="16">
        <f t="shared" si="2"/>
        <v>5.0110007807457</v>
      </c>
      <c r="K30" s="80">
        <v>6.8</v>
      </c>
      <c r="L30" s="89">
        <v>44733.4583333333</v>
      </c>
      <c r="M30">
        <v>130</v>
      </c>
      <c r="N30">
        <v>1</v>
      </c>
      <c r="O30">
        <v>11</v>
      </c>
      <c r="P30">
        <v>33</v>
      </c>
      <c r="Q30">
        <v>10</v>
      </c>
      <c r="R30">
        <v>0.5</v>
      </c>
      <c r="S30" t="s">
        <v>714</v>
      </c>
      <c r="T30" t="str">
        <f t="shared" si="9"/>
        <v>=DISPIMG("ID_9BE6A68DE9864E859F85E2B55345DA88",1)</v>
      </c>
      <c r="U30" s="82" t="s">
        <v>1344</v>
      </c>
      <c r="V30" s="82" t="s">
        <v>716</v>
      </c>
    </row>
    <row r="31" customHeight="1" spans="1:22">
      <c r="A31" s="82" t="s">
        <v>1371</v>
      </c>
      <c r="B31" s="80">
        <v>4325232.89</v>
      </c>
      <c r="C31" s="81"/>
      <c r="D31" s="80">
        <v>102</v>
      </c>
      <c r="E31" s="80">
        <v>30</v>
      </c>
      <c r="F31" s="80"/>
      <c r="G31" s="80"/>
      <c r="H31" s="80">
        <v>3867190.73</v>
      </c>
      <c r="I31" s="16">
        <f t="shared" si="0"/>
        <v>10.5899999294604</v>
      </c>
      <c r="J31" s="16">
        <f t="shared" si="2"/>
        <v>0.910000070539599</v>
      </c>
      <c r="K31" s="80">
        <v>11.5</v>
      </c>
      <c r="L31" s="89">
        <v>44748.4583333333</v>
      </c>
      <c r="M31">
        <v>66</v>
      </c>
      <c r="S31" t="s">
        <v>742</v>
      </c>
      <c r="T31" t="str">
        <f>_xlfn.DISPIMG("ID_1DF05EEA850D409DBB028A80F964A10C",1)</f>
        <v>=DISPIMG("ID_1DF05EEA850D409DBB028A80F964A10C",1)</v>
      </c>
      <c r="U31" s="82" t="s">
        <v>1344</v>
      </c>
      <c r="V31" s="82" t="s">
        <v>743</v>
      </c>
    </row>
    <row r="32" customHeight="1" spans="1:22">
      <c r="A32" s="82" t="s">
        <v>1372</v>
      </c>
      <c r="B32" s="80">
        <v>10366252.45</v>
      </c>
      <c r="C32" s="81">
        <v>9516177.51</v>
      </c>
      <c r="D32" s="80">
        <f t="shared" ref="D32:D83" si="10">AVERAGE(O32:Q32)</f>
        <v>8.3</v>
      </c>
      <c r="E32" s="80">
        <f t="shared" ref="E32:E36" si="11">R32</f>
        <v>0.9</v>
      </c>
      <c r="F32" s="80"/>
      <c r="G32" s="80"/>
      <c r="H32" s="80">
        <v>9517878.35</v>
      </c>
      <c r="I32" s="16">
        <f t="shared" si="0"/>
        <v>8.18399999509947</v>
      </c>
      <c r="J32" s="16">
        <f t="shared" si="2"/>
        <v>1.68399999509947</v>
      </c>
      <c r="K32" s="80">
        <v>6.5</v>
      </c>
      <c r="L32" s="89">
        <v>44755.375</v>
      </c>
      <c r="M32">
        <v>91</v>
      </c>
      <c r="N32">
        <v>1</v>
      </c>
      <c r="O32">
        <v>2.3</v>
      </c>
      <c r="P32">
        <v>10.2</v>
      </c>
      <c r="Q32">
        <v>12.4</v>
      </c>
      <c r="R32">
        <v>0.9</v>
      </c>
      <c r="S32" t="s">
        <v>752</v>
      </c>
      <c r="T32" t="str">
        <f t="shared" ref="T32:T36" si="12">_xlfn.DISPIMG("ID_39A08211ED6A4076AB89912F4CD96E32",1)</f>
        <v>=DISPIMG("ID_39A08211ED6A4076AB89912F4CD96E32",1)</v>
      </c>
      <c r="U32" s="82" t="s">
        <v>1344</v>
      </c>
      <c r="V32" s="82" t="s">
        <v>754</v>
      </c>
    </row>
    <row r="33" customHeight="1" spans="1:22">
      <c r="A33" s="82" t="s">
        <v>1373</v>
      </c>
      <c r="B33" s="80">
        <v>7482145.66</v>
      </c>
      <c r="C33" s="81">
        <v>6655185.59</v>
      </c>
      <c r="D33" s="80">
        <f t="shared" si="10"/>
        <v>11.4666666666667</v>
      </c>
      <c r="E33" s="80">
        <f t="shared" si="11"/>
        <v>0.9</v>
      </c>
      <c r="F33" s="80"/>
      <c r="G33" s="80"/>
      <c r="H33" s="80">
        <v>6721361.39</v>
      </c>
      <c r="I33" s="16">
        <f t="shared" si="0"/>
        <v>10.1679959809817</v>
      </c>
      <c r="J33" s="16">
        <f t="shared" si="2"/>
        <v>2.8679959809817</v>
      </c>
      <c r="K33" s="80">
        <v>7.3</v>
      </c>
      <c r="L33" s="89">
        <v>44757.4583333333</v>
      </c>
      <c r="M33">
        <v>128</v>
      </c>
      <c r="N33">
        <v>3</v>
      </c>
      <c r="O33">
        <v>10.9</v>
      </c>
      <c r="P33">
        <v>8.8</v>
      </c>
      <c r="Q33">
        <v>14.7</v>
      </c>
      <c r="R33">
        <v>0.9</v>
      </c>
      <c r="S33" t="s">
        <v>759</v>
      </c>
      <c r="T33" t="str">
        <f>_xlfn.DISPIMG("ID_9F2505351B1D46C5A2D1BF3040510394",1)</f>
        <v>=DISPIMG("ID_9F2505351B1D46C5A2D1BF3040510394",1)</v>
      </c>
      <c r="U33" s="82" t="s">
        <v>1344</v>
      </c>
      <c r="V33" s="82" t="s">
        <v>760</v>
      </c>
    </row>
    <row r="34" customHeight="1" spans="1:22">
      <c r="A34" s="82" t="s">
        <v>1374</v>
      </c>
      <c r="B34" s="80">
        <v>33445754.54</v>
      </c>
      <c r="C34" s="81">
        <v>32220787.61</v>
      </c>
      <c r="D34" s="80">
        <f t="shared" si="10"/>
        <v>2.8</v>
      </c>
      <c r="E34" s="80">
        <f t="shared" si="11"/>
        <v>0.7</v>
      </c>
      <c r="F34" s="80"/>
      <c r="G34" s="80"/>
      <c r="H34" s="80">
        <v>32074478.6</v>
      </c>
      <c r="I34" s="16">
        <f t="shared" si="0"/>
        <v>4.10000001154107</v>
      </c>
      <c r="J34" s="16">
        <f t="shared" si="2"/>
        <v>2.69999998845893</v>
      </c>
      <c r="K34" s="80">
        <v>6.8</v>
      </c>
      <c r="L34" s="89">
        <v>44778.5</v>
      </c>
      <c r="M34">
        <v>74</v>
      </c>
      <c r="N34">
        <v>1</v>
      </c>
      <c r="O34">
        <v>2.7</v>
      </c>
      <c r="P34">
        <v>1.5</v>
      </c>
      <c r="Q34">
        <v>4.2</v>
      </c>
      <c r="R34">
        <v>0.7</v>
      </c>
      <c r="S34" t="s">
        <v>781</v>
      </c>
      <c r="T34" t="str">
        <f t="shared" si="12"/>
        <v>=DISPIMG("ID_39A08211ED6A4076AB89912F4CD96E32",1)</v>
      </c>
      <c r="U34" s="82" t="s">
        <v>1344</v>
      </c>
      <c r="V34" s="92" t="s">
        <v>782</v>
      </c>
    </row>
    <row r="35" customHeight="1" spans="1:22">
      <c r="A35" s="5" t="s">
        <v>1375</v>
      </c>
      <c r="B35" s="80">
        <v>11638174.84</v>
      </c>
      <c r="C35" s="81">
        <v>10971784.82</v>
      </c>
      <c r="D35" s="80">
        <f t="shared" si="10"/>
        <v>5.33333333333333</v>
      </c>
      <c r="E35" s="80">
        <f t="shared" si="11"/>
        <v>0.5</v>
      </c>
      <c r="F35" s="80"/>
      <c r="G35" s="80"/>
      <c r="H35" s="80">
        <v>10971772.95</v>
      </c>
      <c r="I35" s="16">
        <f t="shared" si="0"/>
        <v>5.72599998849991</v>
      </c>
      <c r="J35" s="16">
        <f t="shared" ref="J35:J66" si="13">ABS(I35-K35)</f>
        <v>5.47400001150009</v>
      </c>
      <c r="K35" s="80">
        <v>11.2</v>
      </c>
      <c r="L35" s="89">
        <v>44784.375</v>
      </c>
      <c r="M35">
        <v>138</v>
      </c>
      <c r="N35">
        <v>3</v>
      </c>
      <c r="O35">
        <v>7.4</v>
      </c>
      <c r="P35">
        <v>3</v>
      </c>
      <c r="Q35">
        <v>5.6</v>
      </c>
      <c r="R35">
        <v>0.5</v>
      </c>
      <c r="S35" t="s">
        <v>792</v>
      </c>
      <c r="U35" s="82" t="s">
        <v>1344</v>
      </c>
      <c r="V35" s="5" t="s">
        <v>794</v>
      </c>
    </row>
    <row r="36" customHeight="1" spans="1:24">
      <c r="A36" s="82" t="s">
        <v>1376</v>
      </c>
      <c r="B36" s="80">
        <v>78069477.38</v>
      </c>
      <c r="C36" s="81">
        <v>68572709.56</v>
      </c>
      <c r="D36" s="80">
        <f t="shared" si="10"/>
        <v>12.6666666666667</v>
      </c>
      <c r="E36" s="80">
        <f t="shared" si="11"/>
        <v>0.9</v>
      </c>
      <c r="F36" s="80"/>
      <c r="G36" s="80"/>
      <c r="H36" s="80">
        <v>69036838.85</v>
      </c>
      <c r="I36" s="16">
        <f t="shared" si="0"/>
        <v>11.5699999963289</v>
      </c>
      <c r="J36" s="16">
        <f t="shared" si="13"/>
        <v>4.5699999963289</v>
      </c>
      <c r="K36" s="80">
        <v>7</v>
      </c>
      <c r="L36" s="89">
        <v>44791.4583333333</v>
      </c>
      <c r="M36">
        <v>76</v>
      </c>
      <c r="N36">
        <v>3</v>
      </c>
      <c r="O36">
        <v>10.9</v>
      </c>
      <c r="P36">
        <v>14.7</v>
      </c>
      <c r="Q36">
        <v>12.4</v>
      </c>
      <c r="R36">
        <v>0.9</v>
      </c>
      <c r="S36" s="35" t="s">
        <v>805</v>
      </c>
      <c r="T36" t="str">
        <f t="shared" si="12"/>
        <v>=DISPIMG("ID_39A08211ED6A4076AB89912F4CD96E32",1)</v>
      </c>
      <c r="U36" s="82" t="s">
        <v>1344</v>
      </c>
      <c r="V36" s="92" t="s">
        <v>807</v>
      </c>
      <c r="X36" s="44"/>
    </row>
    <row r="37" customHeight="1" spans="1:22">
      <c r="A37" s="88" t="s">
        <v>1377</v>
      </c>
      <c r="B37" s="80">
        <v>8600000</v>
      </c>
      <c r="C37" s="81">
        <v>7462220</v>
      </c>
      <c r="D37" s="80">
        <f t="shared" si="10"/>
        <v>13.2333333333333</v>
      </c>
      <c r="E37" s="80"/>
      <c r="F37" s="80"/>
      <c r="G37" s="80"/>
      <c r="H37" s="80">
        <v>7467380</v>
      </c>
      <c r="I37" s="16">
        <f t="shared" si="0"/>
        <v>13.17</v>
      </c>
      <c r="J37" s="16">
        <f t="shared" si="13"/>
        <v>1.67</v>
      </c>
      <c r="K37" s="80">
        <v>11.5</v>
      </c>
      <c r="L37" s="89">
        <v>44791.4583333333</v>
      </c>
      <c r="M37">
        <v>15</v>
      </c>
      <c r="N37">
        <v>2</v>
      </c>
      <c r="O37">
        <v>13.9</v>
      </c>
      <c r="P37">
        <v>13.6</v>
      </c>
      <c r="Q37">
        <v>12.2</v>
      </c>
      <c r="S37" t="s">
        <v>809</v>
      </c>
      <c r="T37" t="str">
        <f t="shared" ref="T37:T39" si="14">_xlfn.DISPIMG("ID_7C31CFCBD4024C9D8E33AE608439EFF5",1)</f>
        <v>=DISPIMG("ID_7C31CFCBD4024C9D8E33AE608439EFF5",1)</v>
      </c>
      <c r="U37" s="82" t="s">
        <v>1344</v>
      </c>
      <c r="V37" s="31" t="s">
        <v>811</v>
      </c>
    </row>
    <row r="38" customHeight="1" spans="1:22">
      <c r="A38" s="82" t="s">
        <v>1378</v>
      </c>
      <c r="B38" s="80">
        <v>9673409.49</v>
      </c>
      <c r="C38" s="81">
        <v>8876940.85</v>
      </c>
      <c r="D38" s="80">
        <f t="shared" si="10"/>
        <v>9.23333333333333</v>
      </c>
      <c r="E38" s="80">
        <f t="shared" ref="E38:E48" si="15">R38</f>
        <v>0.5</v>
      </c>
      <c r="F38" s="80"/>
      <c r="G38" s="80"/>
      <c r="H38" s="80">
        <v>8876223.81</v>
      </c>
      <c r="I38" s="16">
        <f t="shared" si="0"/>
        <v>8.24100004061754</v>
      </c>
      <c r="J38" s="16">
        <f t="shared" si="13"/>
        <v>1.64100004061754</v>
      </c>
      <c r="K38" s="80">
        <v>6.6</v>
      </c>
      <c r="L38" s="89">
        <v>44798.375</v>
      </c>
      <c r="M38">
        <v>134</v>
      </c>
      <c r="N38">
        <v>3</v>
      </c>
      <c r="O38">
        <v>12.4</v>
      </c>
      <c r="P38">
        <v>9.4</v>
      </c>
      <c r="Q38">
        <v>5.9</v>
      </c>
      <c r="R38">
        <v>0.5</v>
      </c>
      <c r="S38" s="35" t="s">
        <v>815</v>
      </c>
      <c r="T38" t="str">
        <f t="shared" si="14"/>
        <v>=DISPIMG("ID_7C31CFCBD4024C9D8E33AE608439EFF5",1)</v>
      </c>
      <c r="U38" s="82" t="s">
        <v>1344</v>
      </c>
      <c r="V38" s="82" t="s">
        <v>816</v>
      </c>
    </row>
    <row r="39" customHeight="1" spans="1:22">
      <c r="A39" s="5" t="s">
        <v>1379</v>
      </c>
      <c r="B39" s="80">
        <v>20958381.52</v>
      </c>
      <c r="C39" s="81">
        <v>19167268.28</v>
      </c>
      <c r="D39" s="80">
        <f t="shared" si="10"/>
        <v>8.36666666666667</v>
      </c>
      <c r="E39" s="80">
        <f t="shared" si="15"/>
        <v>0.7</v>
      </c>
      <c r="F39" s="80"/>
      <c r="G39" s="80"/>
      <c r="H39" s="80">
        <v>19166439.9</v>
      </c>
      <c r="I39" s="16">
        <f t="shared" si="0"/>
        <v>8.55000000019086</v>
      </c>
      <c r="J39" s="16">
        <f t="shared" si="13"/>
        <v>0.890000000190859</v>
      </c>
      <c r="K39" s="80">
        <v>7.66</v>
      </c>
      <c r="L39" s="89">
        <v>44799.375</v>
      </c>
      <c r="M39">
        <v>142</v>
      </c>
      <c r="N39">
        <v>1</v>
      </c>
      <c r="O39">
        <v>4.7</v>
      </c>
      <c r="P39">
        <v>6.6</v>
      </c>
      <c r="Q39">
        <v>13.8</v>
      </c>
      <c r="R39">
        <v>0.7</v>
      </c>
      <c r="S39" t="s">
        <v>827</v>
      </c>
      <c r="T39" t="str">
        <f t="shared" si="14"/>
        <v>=DISPIMG("ID_7C31CFCBD4024C9D8E33AE608439EFF5",1)</v>
      </c>
      <c r="U39" s="82" t="s">
        <v>1344</v>
      </c>
      <c r="V39" s="5" t="s">
        <v>829</v>
      </c>
    </row>
    <row r="40" customHeight="1" spans="1:22">
      <c r="A40" s="5" t="s">
        <v>1380</v>
      </c>
      <c r="B40" s="80">
        <v>3158053.98</v>
      </c>
      <c r="C40" s="81">
        <v>2905762.4</v>
      </c>
      <c r="D40" s="80">
        <f t="shared" si="10"/>
        <v>8.13333333333333</v>
      </c>
      <c r="E40" s="80">
        <f t="shared" si="15"/>
        <v>0.7</v>
      </c>
      <c r="F40" s="80"/>
      <c r="G40" s="80"/>
      <c r="H40" s="80">
        <v>2904966.69</v>
      </c>
      <c r="I40" s="16">
        <f t="shared" si="0"/>
        <v>8.01402672667426</v>
      </c>
      <c r="J40" s="16">
        <f t="shared" si="13"/>
        <v>0.51402672667426</v>
      </c>
      <c r="K40" s="80">
        <v>7.5</v>
      </c>
      <c r="L40" s="89">
        <v>44799.4375</v>
      </c>
      <c r="M40">
        <v>119</v>
      </c>
      <c r="N40">
        <v>2</v>
      </c>
      <c r="O40">
        <v>6.9</v>
      </c>
      <c r="P40">
        <v>5.6</v>
      </c>
      <c r="Q40">
        <v>11.9</v>
      </c>
      <c r="R40">
        <v>0.7</v>
      </c>
      <c r="S40" t="s">
        <v>831</v>
      </c>
      <c r="T40" t="str">
        <f>_xlfn.DISPIMG("ID_BD8F4C1D7BBD4CDB8152C04DA54378C0",1)</f>
        <v>=DISPIMG("ID_BD8F4C1D7BBD4CDB8152C04DA54378C0",1)</v>
      </c>
      <c r="U40" s="82" t="s">
        <v>1344</v>
      </c>
      <c r="V40" s="5" t="s">
        <v>833</v>
      </c>
    </row>
    <row r="41" customHeight="1" spans="1:22">
      <c r="A41" s="5" t="s">
        <v>1381</v>
      </c>
      <c r="B41" s="80">
        <v>8213927.32</v>
      </c>
      <c r="C41" s="81">
        <v>7493541.24</v>
      </c>
      <c r="D41" s="80">
        <f t="shared" si="10"/>
        <v>9.36666666666667</v>
      </c>
      <c r="E41" s="80">
        <f t="shared" si="15"/>
        <v>0.3</v>
      </c>
      <c r="F41" s="80"/>
      <c r="G41" s="80"/>
      <c r="H41" s="80">
        <v>7493547.4</v>
      </c>
      <c r="I41" s="16">
        <f t="shared" si="0"/>
        <v>8.77022515460972</v>
      </c>
      <c r="J41" s="16">
        <f t="shared" si="13"/>
        <v>0.0902251546097208</v>
      </c>
      <c r="K41" s="80">
        <v>8.68</v>
      </c>
      <c r="L41" s="89">
        <v>44831.3958333333</v>
      </c>
      <c r="M41">
        <v>138</v>
      </c>
      <c r="N41">
        <v>3</v>
      </c>
      <c r="O41">
        <v>10.8</v>
      </c>
      <c r="P41">
        <v>7.7</v>
      </c>
      <c r="Q41">
        <v>9.6</v>
      </c>
      <c r="R41">
        <v>0.3</v>
      </c>
      <c r="S41" t="s">
        <v>869</v>
      </c>
      <c r="U41" s="82" t="s">
        <v>1344</v>
      </c>
      <c r="V41" s="5" t="s">
        <v>871</v>
      </c>
    </row>
    <row r="42" customHeight="1" spans="1:22">
      <c r="A42" s="20" t="s">
        <v>1382</v>
      </c>
      <c r="B42" s="80">
        <v>10165689.4</v>
      </c>
      <c r="C42" s="81"/>
      <c r="D42" s="80">
        <f t="shared" si="10"/>
        <v>8.7</v>
      </c>
      <c r="E42" s="80">
        <f t="shared" si="15"/>
        <v>0.5</v>
      </c>
      <c r="F42" s="80"/>
      <c r="G42" s="80"/>
      <c r="H42" s="80">
        <v>9373487.39</v>
      </c>
      <c r="I42" s="16">
        <f t="shared" si="0"/>
        <v>7.79290000735219</v>
      </c>
      <c r="J42" s="16">
        <f t="shared" si="13"/>
        <v>1.60709999264781</v>
      </c>
      <c r="K42" s="80">
        <v>9.4</v>
      </c>
      <c r="L42" s="89">
        <v>44852.3958333333</v>
      </c>
      <c r="M42">
        <v>135</v>
      </c>
      <c r="N42">
        <v>2</v>
      </c>
      <c r="O42">
        <v>0.9</v>
      </c>
      <c r="P42">
        <v>10.8</v>
      </c>
      <c r="Q42">
        <v>14.4</v>
      </c>
      <c r="R42">
        <v>0.5</v>
      </c>
      <c r="S42" t="s">
        <v>889</v>
      </c>
      <c r="U42" s="82" t="s">
        <v>1344</v>
      </c>
      <c r="V42" s="20" t="s">
        <v>890</v>
      </c>
    </row>
    <row r="43" customHeight="1" spans="1:22">
      <c r="A43" s="5" t="s">
        <v>1383</v>
      </c>
      <c r="B43" s="80">
        <v>6890293.81</v>
      </c>
      <c r="C43" s="81">
        <v>6342786.12</v>
      </c>
      <c r="D43" s="80">
        <f t="shared" si="10"/>
        <v>8.56666666666667</v>
      </c>
      <c r="E43" s="80">
        <f t="shared" si="15"/>
        <v>0.5</v>
      </c>
      <c r="F43" s="80"/>
      <c r="G43" s="80"/>
      <c r="H43" s="80">
        <v>6344582.54</v>
      </c>
      <c r="I43" s="16">
        <f t="shared" si="0"/>
        <v>7.92000000359926</v>
      </c>
      <c r="J43" s="16">
        <f t="shared" si="13"/>
        <v>0.370000003599261</v>
      </c>
      <c r="K43" s="80">
        <v>7.55</v>
      </c>
      <c r="L43" s="89">
        <v>44853.3958333333</v>
      </c>
      <c r="M43">
        <v>136</v>
      </c>
      <c r="N43">
        <v>4</v>
      </c>
      <c r="O43">
        <v>3.6</v>
      </c>
      <c r="P43">
        <v>10.4</v>
      </c>
      <c r="Q43">
        <v>11.7</v>
      </c>
      <c r="R43">
        <v>0.5</v>
      </c>
      <c r="S43" t="s">
        <v>892</v>
      </c>
      <c r="T43" t="str">
        <f>_xlfn.DISPIMG("ID_51EA5BEA5DEB49359D5B5E2AADF051B3",1)</f>
        <v>=DISPIMG("ID_51EA5BEA5DEB49359D5B5E2AADF051B3",1)</v>
      </c>
      <c r="U43" s="82" t="s">
        <v>1344</v>
      </c>
      <c r="V43" s="36" t="s">
        <v>893</v>
      </c>
    </row>
    <row r="44" customHeight="1" spans="1:22">
      <c r="A44" s="5" t="s">
        <v>1384</v>
      </c>
      <c r="B44" s="80">
        <v>8278723.1</v>
      </c>
      <c r="C44" s="81"/>
      <c r="D44" s="80">
        <f t="shared" si="10"/>
        <v>8.66666666666667</v>
      </c>
      <c r="E44" s="80">
        <f t="shared" si="15"/>
        <v>0.1</v>
      </c>
      <c r="F44" s="80"/>
      <c r="G44" s="80"/>
      <c r="H44" s="80">
        <v>7658232.78</v>
      </c>
      <c r="I44" s="16">
        <f t="shared" si="0"/>
        <v>7.49500028573246</v>
      </c>
      <c r="J44" s="16">
        <f t="shared" si="13"/>
        <v>0.38499971426754</v>
      </c>
      <c r="K44" s="80">
        <v>7.88</v>
      </c>
      <c r="L44" s="89">
        <v>44869.4583333333</v>
      </c>
      <c r="M44">
        <v>129</v>
      </c>
      <c r="N44">
        <v>3</v>
      </c>
      <c r="O44">
        <v>8.8</v>
      </c>
      <c r="P44">
        <v>14.7</v>
      </c>
      <c r="Q44">
        <v>2.5</v>
      </c>
      <c r="R44">
        <v>0.1</v>
      </c>
      <c r="S44" t="s">
        <v>923</v>
      </c>
      <c r="U44" s="82" t="s">
        <v>1344</v>
      </c>
      <c r="V44" s="5" t="s">
        <v>924</v>
      </c>
    </row>
    <row r="45" customHeight="1" spans="1:22">
      <c r="A45" s="31" t="s">
        <v>1385</v>
      </c>
      <c r="B45" s="80">
        <v>10256114.18</v>
      </c>
      <c r="C45" s="81"/>
      <c r="D45" s="80">
        <f t="shared" si="10"/>
        <v>8.83333333333333</v>
      </c>
      <c r="E45" s="80">
        <f t="shared" si="15"/>
        <v>0.9</v>
      </c>
      <c r="F45" s="80"/>
      <c r="G45" s="80"/>
      <c r="H45" s="80">
        <v>9366909.07</v>
      </c>
      <c r="I45" s="16">
        <f t="shared" si="0"/>
        <v>8.67000010329448</v>
      </c>
      <c r="J45" s="16">
        <f t="shared" si="13"/>
        <v>1.17000010329448</v>
      </c>
      <c r="K45" s="80">
        <v>7.5</v>
      </c>
      <c r="L45" s="89">
        <v>44869.4583333333</v>
      </c>
      <c r="M45">
        <v>135</v>
      </c>
      <c r="N45">
        <v>4</v>
      </c>
      <c r="O45">
        <v>7.9</v>
      </c>
      <c r="P45">
        <v>13.9</v>
      </c>
      <c r="Q45">
        <v>4.7</v>
      </c>
      <c r="R45">
        <v>0.9</v>
      </c>
      <c r="S45" t="s">
        <v>917</v>
      </c>
      <c r="T45" t="str">
        <f t="shared" ref="T45:T47" si="16">_xlfn.DISPIMG("ID_34D46CC4D3A8432196B7323836722AC2",1)</f>
        <v>=DISPIMG("ID_34D46CC4D3A8432196B7323836722AC2",1)</v>
      </c>
      <c r="U45" s="82" t="s">
        <v>1344</v>
      </c>
      <c r="V45" s="31" t="s">
        <v>918</v>
      </c>
    </row>
    <row r="46" customHeight="1" spans="1:22">
      <c r="A46" s="31" t="s">
        <v>1386</v>
      </c>
      <c r="B46" s="80">
        <v>12589034.91</v>
      </c>
      <c r="C46" s="81"/>
      <c r="D46" s="80">
        <f t="shared" si="10"/>
        <v>2.96666666666667</v>
      </c>
      <c r="E46" s="80">
        <f t="shared" si="15"/>
        <v>0.5</v>
      </c>
      <c r="F46" s="80"/>
      <c r="G46" s="80"/>
      <c r="H46" s="80">
        <v>11942311.01</v>
      </c>
      <c r="I46" s="16">
        <f t="shared" si="0"/>
        <v>5.13719998890686</v>
      </c>
      <c r="J46" s="16">
        <f t="shared" si="13"/>
        <v>2.52280001109314</v>
      </c>
      <c r="K46" s="80">
        <v>7.66</v>
      </c>
      <c r="L46" s="89">
        <v>44869.4583333333</v>
      </c>
      <c r="M46">
        <v>132</v>
      </c>
      <c r="N46">
        <v>2</v>
      </c>
      <c r="O46">
        <v>5.6</v>
      </c>
      <c r="P46">
        <v>2.4</v>
      </c>
      <c r="Q46">
        <v>0.9</v>
      </c>
      <c r="R46">
        <v>0.5</v>
      </c>
      <c r="S46" t="s">
        <v>920</v>
      </c>
      <c r="T46" t="str">
        <f t="shared" si="16"/>
        <v>=DISPIMG("ID_34D46CC4D3A8432196B7323836722AC2",1)</v>
      </c>
      <c r="U46" s="82" t="s">
        <v>1344</v>
      </c>
      <c r="V46" s="31" t="s">
        <v>921</v>
      </c>
    </row>
    <row r="47" customHeight="1" spans="1:22">
      <c r="A47" s="34" t="s">
        <v>1387</v>
      </c>
      <c r="B47" s="80">
        <v>1919125.58</v>
      </c>
      <c r="C47" s="81">
        <v>1792037</v>
      </c>
      <c r="D47" s="80">
        <f t="shared" si="10"/>
        <v>6.53333333333333</v>
      </c>
      <c r="E47" s="80">
        <f t="shared" si="15"/>
        <v>0.9</v>
      </c>
      <c r="F47" s="80"/>
      <c r="G47" s="80"/>
      <c r="H47" s="80">
        <v>1791448.29</v>
      </c>
      <c r="I47" s="16">
        <f t="shared" si="0"/>
        <v>6.65288875989033</v>
      </c>
      <c r="J47" s="16">
        <f t="shared" si="13"/>
        <v>0.14711124010967</v>
      </c>
      <c r="K47" s="80">
        <v>6.8</v>
      </c>
      <c r="L47" s="89">
        <v>44872.4583333333</v>
      </c>
      <c r="M47">
        <v>92</v>
      </c>
      <c r="N47">
        <v>1</v>
      </c>
      <c r="O47">
        <v>5.2</v>
      </c>
      <c r="P47">
        <v>2.1</v>
      </c>
      <c r="Q47">
        <v>12.3</v>
      </c>
      <c r="R47">
        <v>0.9</v>
      </c>
      <c r="S47" t="s">
        <v>926</v>
      </c>
      <c r="T47" t="str">
        <f t="shared" si="16"/>
        <v>=DISPIMG("ID_34D46CC4D3A8432196B7323836722AC2",1)</v>
      </c>
      <c r="U47" s="82" t="s">
        <v>1344</v>
      </c>
      <c r="V47" s="5" t="s">
        <v>928</v>
      </c>
    </row>
    <row r="48" customHeight="1" spans="1:22">
      <c r="A48" s="18" t="s">
        <v>1388</v>
      </c>
      <c r="B48" s="80">
        <v>47983932.35</v>
      </c>
      <c r="C48" s="81"/>
      <c r="D48" s="80">
        <f t="shared" si="10"/>
        <v>9.56666666666667</v>
      </c>
      <c r="E48" s="80">
        <f t="shared" si="15"/>
        <v>0.5</v>
      </c>
      <c r="F48" s="80"/>
      <c r="G48" s="80"/>
      <c r="H48" s="80">
        <v>43953282.03</v>
      </c>
      <c r="I48" s="16">
        <f t="shared" si="0"/>
        <v>8.40000000541848</v>
      </c>
      <c r="J48" s="16">
        <f t="shared" si="13"/>
        <v>1.10000000541848</v>
      </c>
      <c r="K48" s="80">
        <v>7.3</v>
      </c>
      <c r="L48" s="89">
        <v>44874.4583333333</v>
      </c>
      <c r="M48">
        <v>121</v>
      </c>
      <c r="N48">
        <v>4</v>
      </c>
      <c r="O48">
        <v>14.1</v>
      </c>
      <c r="P48">
        <v>7.9</v>
      </c>
      <c r="Q48">
        <v>6.7</v>
      </c>
      <c r="R48">
        <v>0.5</v>
      </c>
      <c r="S48" t="s">
        <v>930</v>
      </c>
      <c r="U48" s="82" t="s">
        <v>1344</v>
      </c>
      <c r="V48" s="18" t="s">
        <v>931</v>
      </c>
    </row>
    <row r="49" customHeight="1" spans="1:22">
      <c r="A49" s="5" t="s">
        <v>1389</v>
      </c>
      <c r="B49" s="80">
        <v>3044027.15</v>
      </c>
      <c r="C49" s="81">
        <v>2778283.58</v>
      </c>
      <c r="D49" s="80">
        <f t="shared" si="10"/>
        <v>8.73333333333333</v>
      </c>
      <c r="E49" s="80"/>
      <c r="F49" s="80"/>
      <c r="G49" s="80"/>
      <c r="H49" s="80">
        <v>2861044.31</v>
      </c>
      <c r="I49" s="16">
        <f t="shared" si="0"/>
        <v>6.01120919700075</v>
      </c>
      <c r="J49" s="16">
        <f t="shared" si="13"/>
        <v>0.71120919700075</v>
      </c>
      <c r="K49" s="80">
        <v>5.3</v>
      </c>
      <c r="L49" s="89">
        <v>44876.4583333333</v>
      </c>
      <c r="M49">
        <v>3</v>
      </c>
      <c r="N49">
        <v>2</v>
      </c>
      <c r="O49">
        <v>9.9</v>
      </c>
      <c r="P49">
        <v>7.2</v>
      </c>
      <c r="Q49">
        <v>9.1</v>
      </c>
      <c r="S49" t="s">
        <v>936</v>
      </c>
      <c r="U49" s="82" t="s">
        <v>1344</v>
      </c>
      <c r="V49" t="s">
        <v>937</v>
      </c>
    </row>
    <row r="50" customHeight="1" spans="1:22">
      <c r="A50" s="5" t="s">
        <v>1390</v>
      </c>
      <c r="B50" s="80">
        <v>6688607.27</v>
      </c>
      <c r="C50" s="81">
        <v>6194770.5</v>
      </c>
      <c r="D50" s="80">
        <f t="shared" si="10"/>
        <v>7</v>
      </c>
      <c r="E50" s="80">
        <f t="shared" ref="E50:E52" si="17">R50</f>
        <v>0.1</v>
      </c>
      <c r="F50" s="80"/>
      <c r="G50" s="80"/>
      <c r="H50" s="80">
        <v>6194041.68</v>
      </c>
      <c r="I50" s="16">
        <f t="shared" si="0"/>
        <v>7.39414903635088</v>
      </c>
      <c r="J50" s="16">
        <f t="shared" si="13"/>
        <v>0.30585096364912</v>
      </c>
      <c r="K50" s="80">
        <v>7.7</v>
      </c>
      <c r="L50" s="89">
        <v>44881.4583333333</v>
      </c>
      <c r="M50">
        <v>130</v>
      </c>
      <c r="N50">
        <v>1</v>
      </c>
      <c r="O50">
        <v>2.7</v>
      </c>
      <c r="P50">
        <v>14.1</v>
      </c>
      <c r="Q50">
        <v>4.2</v>
      </c>
      <c r="R50">
        <v>0.1</v>
      </c>
      <c r="S50" t="s">
        <v>939</v>
      </c>
      <c r="U50" s="82" t="s">
        <v>1344</v>
      </c>
      <c r="V50" s="36" t="s">
        <v>940</v>
      </c>
    </row>
    <row r="51" customHeight="1" spans="1:22">
      <c r="A51" s="5" t="s">
        <v>1391</v>
      </c>
      <c r="B51" s="80">
        <v>11516212.04</v>
      </c>
      <c r="C51" s="81">
        <v>10492574.71</v>
      </c>
      <c r="D51" s="80">
        <f t="shared" si="10"/>
        <v>10</v>
      </c>
      <c r="E51" s="80">
        <f t="shared" si="17"/>
        <v>0.1</v>
      </c>
      <c r="F51" s="80"/>
      <c r="G51" s="80"/>
      <c r="H51" s="80">
        <v>10492373.34</v>
      </c>
      <c r="I51" s="16">
        <f t="shared" si="0"/>
        <v>8.89041202475114</v>
      </c>
      <c r="J51" s="16">
        <f t="shared" si="13"/>
        <v>0.0904120247511386</v>
      </c>
      <c r="K51" s="80">
        <v>8.8</v>
      </c>
      <c r="L51" s="89">
        <v>44909.375</v>
      </c>
      <c r="M51">
        <v>139</v>
      </c>
      <c r="N51">
        <v>4</v>
      </c>
      <c r="O51">
        <v>10.5</v>
      </c>
      <c r="P51">
        <v>6.8</v>
      </c>
      <c r="Q51">
        <v>12.7</v>
      </c>
      <c r="R51">
        <v>0.1</v>
      </c>
      <c r="S51" t="s">
        <v>960</v>
      </c>
      <c r="U51" s="82" t="s">
        <v>1344</v>
      </c>
      <c r="V51" s="5" t="s">
        <v>961</v>
      </c>
    </row>
    <row r="52" customHeight="1" spans="1:22">
      <c r="A52" s="31" t="s">
        <v>1392</v>
      </c>
      <c r="B52" s="80">
        <v>7232329.07</v>
      </c>
      <c r="C52" s="3">
        <v>6578607.95</v>
      </c>
      <c r="D52" s="80">
        <f t="shared" si="10"/>
        <v>9.3</v>
      </c>
      <c r="E52" s="80">
        <f t="shared" si="17"/>
        <v>0.9</v>
      </c>
      <c r="F52" s="80"/>
      <c r="G52" s="80"/>
      <c r="H52" s="80">
        <v>6576356.82</v>
      </c>
      <c r="I52" s="16">
        <f t="shared" si="0"/>
        <v>9.07000004633363</v>
      </c>
      <c r="J52" s="16">
        <f t="shared" si="13"/>
        <v>0.429999953666369</v>
      </c>
      <c r="K52" s="80">
        <v>9.5</v>
      </c>
      <c r="L52" s="89">
        <v>44960.3958333333</v>
      </c>
      <c r="M52">
        <v>136</v>
      </c>
      <c r="N52">
        <v>1</v>
      </c>
      <c r="O52" s="90">
        <v>8</v>
      </c>
      <c r="P52">
        <v>8.9</v>
      </c>
      <c r="Q52" s="90">
        <v>11</v>
      </c>
      <c r="R52">
        <v>0.9</v>
      </c>
      <c r="S52" t="s">
        <v>1015</v>
      </c>
      <c r="T52" t="str">
        <f>_xlfn.DISPIMG("ID_07BB03D8552243449A0E21372BBBBEE9",1)</f>
        <v>=DISPIMG("ID_07BB03D8552243449A0E21372BBBBEE9",1)</v>
      </c>
      <c r="U52" s="82" t="s">
        <v>1344</v>
      </c>
      <c r="V52" s="5" t="s">
        <v>1017</v>
      </c>
    </row>
    <row r="53" customHeight="1" spans="1:22">
      <c r="A53" s="5" t="s">
        <v>1393</v>
      </c>
      <c r="B53" s="80">
        <v>51226390.75</v>
      </c>
      <c r="C53" s="18">
        <v>47983760.22</v>
      </c>
      <c r="D53" s="80">
        <f t="shared" si="10"/>
        <v>6.33333333333333</v>
      </c>
      <c r="E53" s="80"/>
      <c r="F53" s="80"/>
      <c r="G53" s="80"/>
      <c r="H53" s="80">
        <v>48012095.33</v>
      </c>
      <c r="I53" s="16">
        <f t="shared" si="0"/>
        <v>6.27468649057614</v>
      </c>
      <c r="J53" s="16">
        <f t="shared" si="13"/>
        <v>1.28531350942386</v>
      </c>
      <c r="K53" s="80">
        <v>7.56</v>
      </c>
      <c r="L53" s="89">
        <v>44963.4583333333</v>
      </c>
      <c r="M53">
        <v>73</v>
      </c>
      <c r="N53">
        <v>2</v>
      </c>
      <c r="O53">
        <v>0.9</v>
      </c>
      <c r="P53">
        <v>14.4</v>
      </c>
      <c r="Q53">
        <v>3.7</v>
      </c>
      <c r="S53" t="s">
        <v>1019</v>
      </c>
      <c r="U53" s="82" t="s">
        <v>1344</v>
      </c>
      <c r="V53" s="5" t="s">
        <v>1020</v>
      </c>
    </row>
    <row r="54" customHeight="1" spans="1:22">
      <c r="A54" s="20" t="s">
        <v>1033</v>
      </c>
      <c r="B54" s="80">
        <v>5641617.61</v>
      </c>
      <c r="C54" s="18"/>
      <c r="D54" s="80">
        <f t="shared" si="10"/>
        <v>6.53333333333333</v>
      </c>
      <c r="E54" s="80">
        <f t="shared" ref="E54:E77" si="18">R54</f>
        <v>0.9</v>
      </c>
      <c r="F54" s="80"/>
      <c r="G54" s="80"/>
      <c r="H54" s="80">
        <v>5267296.28</v>
      </c>
      <c r="I54" s="16">
        <f t="shared" si="0"/>
        <v>6.63500002794412</v>
      </c>
      <c r="J54" s="16">
        <f t="shared" si="13"/>
        <v>0.56499997205588</v>
      </c>
      <c r="K54" s="80">
        <v>7.2</v>
      </c>
      <c r="L54" s="89">
        <v>44986.3958333333</v>
      </c>
      <c r="M54">
        <v>136</v>
      </c>
      <c r="N54">
        <v>2</v>
      </c>
      <c r="O54">
        <v>3.7</v>
      </c>
      <c r="P54" s="90">
        <v>9</v>
      </c>
      <c r="Q54">
        <v>6.9</v>
      </c>
      <c r="R54">
        <v>0.9</v>
      </c>
      <c r="S54" t="s">
        <v>1034</v>
      </c>
      <c r="T54" t="str">
        <f>_xlfn.DISPIMG("ID_CCDC41B5250642C5966146B2774503D0",1)</f>
        <v>=DISPIMG("ID_CCDC41B5250642C5966146B2774503D0",1)</v>
      </c>
      <c r="U54" s="82" t="s">
        <v>1344</v>
      </c>
      <c r="V54" s="20" t="s">
        <v>1035</v>
      </c>
    </row>
    <row r="55" customHeight="1" spans="1:22">
      <c r="A55" s="23" t="s">
        <v>1394</v>
      </c>
      <c r="B55" s="80">
        <v>5037144.91</v>
      </c>
      <c r="C55" s="18">
        <v>4791669.72</v>
      </c>
      <c r="D55" s="80">
        <f t="shared" si="10"/>
        <v>4.8</v>
      </c>
      <c r="E55" s="80">
        <f t="shared" si="18"/>
        <v>0.7</v>
      </c>
      <c r="F55" s="80"/>
      <c r="G55" s="80"/>
      <c r="H55" s="80">
        <v>4791281.87</v>
      </c>
      <c r="I55" s="16">
        <f t="shared" si="0"/>
        <v>4.88099993930888</v>
      </c>
      <c r="J55" s="16">
        <f t="shared" si="13"/>
        <v>0.91900006069112</v>
      </c>
      <c r="K55" s="80">
        <v>5.8</v>
      </c>
      <c r="L55" s="89">
        <v>44992.3958333333</v>
      </c>
      <c r="M55">
        <v>142</v>
      </c>
      <c r="N55">
        <v>1</v>
      </c>
      <c r="O55">
        <v>1.3</v>
      </c>
      <c r="P55">
        <v>4.2</v>
      </c>
      <c r="Q55">
        <v>8.9</v>
      </c>
      <c r="R55">
        <v>0.7</v>
      </c>
      <c r="S55" t="s">
        <v>1042</v>
      </c>
      <c r="T55" t="str">
        <f>_xlfn.DISPIMG("ID_71060FCE487848038DC296E7A5F8E2C6",1)</f>
        <v>=DISPIMG("ID_71060FCE487848038DC296E7A5F8E2C6",1)</v>
      </c>
      <c r="U55" s="82" t="s">
        <v>1344</v>
      </c>
      <c r="V55" s="23" t="s">
        <v>1043</v>
      </c>
    </row>
    <row r="56" customHeight="1" spans="1:22">
      <c r="A56" s="34" t="s">
        <v>1395</v>
      </c>
      <c r="B56" s="80">
        <v>2488254.43</v>
      </c>
      <c r="C56" s="18"/>
      <c r="D56" s="80">
        <f t="shared" si="10"/>
        <v>4.73333333333333</v>
      </c>
      <c r="E56" s="80">
        <f t="shared" si="18"/>
        <v>0.1</v>
      </c>
      <c r="F56" s="80"/>
      <c r="G56" s="80"/>
      <c r="H56" s="80">
        <v>2365583.49</v>
      </c>
      <c r="I56" s="16">
        <f t="shared" si="0"/>
        <v>4.92999986339821</v>
      </c>
      <c r="J56" s="16">
        <f t="shared" si="13"/>
        <v>0.0700001366017897</v>
      </c>
      <c r="K56" s="80">
        <v>5</v>
      </c>
      <c r="L56" s="89">
        <v>44992.3958333333</v>
      </c>
      <c r="M56">
        <v>91</v>
      </c>
      <c r="N56">
        <v>4</v>
      </c>
      <c r="O56">
        <v>8.5</v>
      </c>
      <c r="P56">
        <v>2.5</v>
      </c>
      <c r="Q56">
        <v>3.2</v>
      </c>
      <c r="R56">
        <v>0.1</v>
      </c>
      <c r="S56" t="s">
        <v>1045</v>
      </c>
      <c r="T56" t="str">
        <f>_xlfn.DISPIMG("ID_71060FCE487848038DC296E7A5F8E2C6",1)</f>
        <v>=DISPIMG("ID_71060FCE487848038DC296E7A5F8E2C6",1)</v>
      </c>
      <c r="U56" s="82" t="s">
        <v>1344</v>
      </c>
      <c r="V56" s="34" t="s">
        <v>1046</v>
      </c>
    </row>
    <row r="57" customHeight="1" spans="1:22">
      <c r="A57" s="5" t="s">
        <v>1396</v>
      </c>
      <c r="B57" s="80">
        <v>23505451.07</v>
      </c>
      <c r="C57" s="18">
        <v>22356757.72</v>
      </c>
      <c r="D57" s="80">
        <f t="shared" si="10"/>
        <v>3.73333333333333</v>
      </c>
      <c r="E57" s="80">
        <f t="shared" si="18"/>
        <v>0.7</v>
      </c>
      <c r="F57" s="80"/>
      <c r="G57" s="80"/>
      <c r="H57" s="80">
        <v>22330178.52</v>
      </c>
      <c r="I57" s="16">
        <f t="shared" si="0"/>
        <v>4.99999998510984</v>
      </c>
      <c r="J57" s="16">
        <f t="shared" si="13"/>
        <v>1.60000001489016</v>
      </c>
      <c r="K57" s="80">
        <v>6.6</v>
      </c>
      <c r="L57" s="89">
        <v>44992.4583333333</v>
      </c>
      <c r="M57">
        <v>150</v>
      </c>
      <c r="N57">
        <v>1</v>
      </c>
      <c r="O57">
        <v>5.7</v>
      </c>
      <c r="P57">
        <v>4.1</v>
      </c>
      <c r="Q57">
        <v>1.4</v>
      </c>
      <c r="R57">
        <v>0.7</v>
      </c>
      <c r="S57" s="35" t="s">
        <v>1051</v>
      </c>
      <c r="T57" t="str">
        <f>_xlfn.DISPIMG("ID_4067B32F0DBC473DA222972E1E440626",1)</f>
        <v>=DISPIMG("ID_4067B32F0DBC473DA222972E1E440626",1)</v>
      </c>
      <c r="U57" s="82" t="s">
        <v>1344</v>
      </c>
      <c r="V57" s="5" t="s">
        <v>1052</v>
      </c>
    </row>
    <row r="58" customHeight="1" spans="1:22">
      <c r="A58" s="31" t="s">
        <v>1397</v>
      </c>
      <c r="B58" s="80">
        <v>11116967.41</v>
      </c>
      <c r="C58" s="18">
        <v>10291059.15</v>
      </c>
      <c r="D58" s="80">
        <f t="shared" si="10"/>
        <v>8.03333333333333</v>
      </c>
      <c r="E58" s="80">
        <f t="shared" si="18"/>
        <v>0.7</v>
      </c>
      <c r="F58" s="80"/>
      <c r="G58" s="80"/>
      <c r="H58" s="80">
        <v>10292088.43</v>
      </c>
      <c r="I58" s="16">
        <f t="shared" si="0"/>
        <v>7.41999998361064</v>
      </c>
      <c r="J58" s="16">
        <f t="shared" si="13"/>
        <v>1.11999998361064</v>
      </c>
      <c r="K58" s="80">
        <v>6.3</v>
      </c>
      <c r="L58" s="89">
        <v>45023.3958333333</v>
      </c>
      <c r="M58">
        <v>123</v>
      </c>
      <c r="N58">
        <v>4</v>
      </c>
      <c r="O58">
        <v>1.2</v>
      </c>
      <c r="P58">
        <v>7.9</v>
      </c>
      <c r="Q58">
        <v>15</v>
      </c>
      <c r="R58">
        <v>0.7</v>
      </c>
      <c r="S58" t="s">
        <v>1068</v>
      </c>
      <c r="T58" t="str">
        <f>_xlfn.DISPIMG("ID_CC1FF35B6F9E4D9AABBF3D2ED36DFA36",1)</f>
        <v>=DISPIMG("ID_CC1FF35B6F9E4D9AABBF3D2ED36DFA36",1)</v>
      </c>
      <c r="U58" s="82" t="s">
        <v>1344</v>
      </c>
      <c r="V58" s="31" t="s">
        <v>1069</v>
      </c>
    </row>
    <row r="59" customHeight="1" spans="1:22">
      <c r="A59" s="5" t="s">
        <v>1398</v>
      </c>
      <c r="B59" s="80">
        <v>11711104.99</v>
      </c>
      <c r="C59" s="18">
        <v>10646380.62</v>
      </c>
      <c r="D59" s="80">
        <f t="shared" si="10"/>
        <v>9.56666666666667</v>
      </c>
      <c r="E59" s="80">
        <f t="shared" si="18"/>
        <v>0.3</v>
      </c>
      <c r="F59" s="80"/>
      <c r="G59" s="80"/>
      <c r="H59" s="80">
        <v>10646682.66</v>
      </c>
      <c r="I59" s="16">
        <f t="shared" si="0"/>
        <v>9.0889999783018</v>
      </c>
      <c r="J59" s="16">
        <f t="shared" si="13"/>
        <v>1.1110000216982</v>
      </c>
      <c r="K59" s="80">
        <v>10.2</v>
      </c>
      <c r="L59" s="89">
        <v>45026.4166666667</v>
      </c>
      <c r="M59">
        <v>160</v>
      </c>
      <c r="N59">
        <v>3</v>
      </c>
      <c r="O59">
        <v>13.6</v>
      </c>
      <c r="P59">
        <v>12.9</v>
      </c>
      <c r="Q59">
        <v>2.2</v>
      </c>
      <c r="R59">
        <v>0.3</v>
      </c>
      <c r="S59" t="s">
        <v>1071</v>
      </c>
      <c r="T59" t="str">
        <f>_xlfn.DISPIMG("ID_FCAACE0111634F6B91743C89AC530D4B",1)</f>
        <v>=DISPIMG("ID_FCAACE0111634F6B91743C89AC530D4B",1)</v>
      </c>
      <c r="U59" s="82" t="s">
        <v>1344</v>
      </c>
      <c r="V59" s="5" t="s">
        <v>1072</v>
      </c>
    </row>
    <row r="60" customHeight="1" spans="1:22">
      <c r="A60" s="5" t="s">
        <v>1399</v>
      </c>
      <c r="B60" s="80">
        <v>4428536.45</v>
      </c>
      <c r="C60" s="18">
        <v>4094709.71</v>
      </c>
      <c r="D60" s="80">
        <f t="shared" si="10"/>
        <v>8.6</v>
      </c>
      <c r="E60" s="80">
        <f t="shared" si="18"/>
        <v>0.3</v>
      </c>
      <c r="F60" s="80"/>
      <c r="G60" s="80"/>
      <c r="H60" s="80">
        <v>4094598.23</v>
      </c>
      <c r="I60" s="16">
        <f t="shared" si="0"/>
        <v>7.54060001019073</v>
      </c>
      <c r="J60" s="16">
        <f t="shared" si="13"/>
        <v>0.94060001019073</v>
      </c>
      <c r="K60" s="80">
        <v>6.6</v>
      </c>
      <c r="L60" s="89">
        <v>45027.3958333333</v>
      </c>
      <c r="M60">
        <v>151</v>
      </c>
      <c r="N60">
        <v>4</v>
      </c>
      <c r="O60">
        <v>11.7</v>
      </c>
      <c r="P60">
        <v>6.2</v>
      </c>
      <c r="Q60">
        <v>7.9</v>
      </c>
      <c r="R60">
        <v>0.3</v>
      </c>
      <c r="S60" t="s">
        <v>1074</v>
      </c>
      <c r="T60" t="str">
        <f>_xlfn.DISPIMG("ID_4ED1CC5E7338419EB4989F1DA9BF1396",1)</f>
        <v>=DISPIMG("ID_4ED1CC5E7338419EB4989F1DA9BF1396",1)</v>
      </c>
      <c r="U60" s="82" t="s">
        <v>1344</v>
      </c>
      <c r="V60" s="5" t="s">
        <v>1075</v>
      </c>
    </row>
    <row r="61" customHeight="1" spans="1:22">
      <c r="A61" s="5" t="s">
        <v>1400</v>
      </c>
      <c r="B61" s="80">
        <v>4849515.92</v>
      </c>
      <c r="C61" s="18">
        <v>4427854.43</v>
      </c>
      <c r="D61" s="80">
        <f t="shared" si="10"/>
        <v>9.4</v>
      </c>
      <c r="E61" s="80">
        <f t="shared" si="18"/>
        <v>0.7</v>
      </c>
      <c r="F61" s="80"/>
      <c r="G61" s="80"/>
      <c r="H61" s="80">
        <v>4428400.19</v>
      </c>
      <c r="I61" s="16">
        <f t="shared" si="0"/>
        <v>8.68366527601789</v>
      </c>
      <c r="J61" s="16">
        <f t="shared" si="13"/>
        <v>1.08366527601789</v>
      </c>
      <c r="K61" s="80">
        <v>7.6</v>
      </c>
      <c r="L61" s="89">
        <v>45028.3958333333</v>
      </c>
      <c r="M61">
        <v>147</v>
      </c>
      <c r="N61">
        <v>3</v>
      </c>
      <c r="O61">
        <v>7.6</v>
      </c>
      <c r="P61">
        <v>5.9</v>
      </c>
      <c r="Q61">
        <v>14.7</v>
      </c>
      <c r="R61">
        <v>0.7</v>
      </c>
      <c r="S61" t="s">
        <v>1080</v>
      </c>
      <c r="T61" t="str">
        <f>_xlfn.DISPIMG("ID_F84295CC4AC84E968F85C8C8274F4167",1)</f>
        <v>=DISPIMG("ID_F84295CC4AC84E968F85C8C8274F4167",1)</v>
      </c>
      <c r="U61" s="82" t="s">
        <v>1344</v>
      </c>
      <c r="V61" s="5" t="s">
        <v>1081</v>
      </c>
    </row>
    <row r="62" customHeight="1" spans="1:22">
      <c r="A62" s="20" t="s">
        <v>1401</v>
      </c>
      <c r="B62" s="80">
        <v>4262455.74</v>
      </c>
      <c r="C62" s="18">
        <v>3923607.29</v>
      </c>
      <c r="D62" s="80">
        <f t="shared" si="10"/>
        <v>7.9</v>
      </c>
      <c r="E62" s="80">
        <f t="shared" si="18"/>
        <v>0.9</v>
      </c>
      <c r="F62" s="80"/>
      <c r="G62" s="80"/>
      <c r="H62" s="80">
        <v>3923169.65</v>
      </c>
      <c r="I62" s="16">
        <f t="shared" si="0"/>
        <v>7.95987361970825</v>
      </c>
      <c r="J62" s="16">
        <f t="shared" si="13"/>
        <v>2.25987361970825</v>
      </c>
      <c r="K62" s="80">
        <v>5.7</v>
      </c>
      <c r="L62" s="89">
        <v>45033.3958333333</v>
      </c>
      <c r="M62">
        <v>149</v>
      </c>
      <c r="N62">
        <v>2</v>
      </c>
      <c r="O62">
        <v>0.5</v>
      </c>
      <c r="P62">
        <v>14.1</v>
      </c>
      <c r="Q62">
        <v>9.1</v>
      </c>
      <c r="R62">
        <v>0.9</v>
      </c>
      <c r="S62" t="s">
        <v>1090</v>
      </c>
      <c r="T62" t="str">
        <f>_xlfn.DISPIMG("ID_290408AD989A4656B67A9AD53628F892",1)</f>
        <v>=DISPIMG("ID_290408AD989A4656B67A9AD53628F892",1)</v>
      </c>
      <c r="U62" s="82" t="s">
        <v>1344</v>
      </c>
      <c r="V62" s="20" t="s">
        <v>1092</v>
      </c>
    </row>
    <row r="63" customHeight="1" spans="1:22">
      <c r="A63" s="5" t="s">
        <v>1402</v>
      </c>
      <c r="B63" s="80">
        <v>28187877.76</v>
      </c>
      <c r="C63" s="18">
        <v>26187971.1</v>
      </c>
      <c r="D63" s="80">
        <f t="shared" si="10"/>
        <v>4.6</v>
      </c>
      <c r="E63" s="80">
        <f t="shared" si="18"/>
        <v>0.3</v>
      </c>
      <c r="F63" s="80"/>
      <c r="G63" s="80"/>
      <c r="H63" s="80">
        <v>26084723.83</v>
      </c>
      <c r="I63" s="16">
        <f t="shared" si="0"/>
        <v>7.46119998073952</v>
      </c>
      <c r="J63" s="16">
        <f t="shared" si="13"/>
        <v>0.661199980739521</v>
      </c>
      <c r="K63" s="80">
        <v>6.8</v>
      </c>
      <c r="L63" s="89">
        <v>45036.375</v>
      </c>
      <c r="M63">
        <v>134</v>
      </c>
      <c r="N63">
        <v>1</v>
      </c>
      <c r="O63">
        <v>9.1</v>
      </c>
      <c r="P63">
        <v>4.2</v>
      </c>
      <c r="Q63">
        <v>0.5</v>
      </c>
      <c r="R63">
        <v>0.3</v>
      </c>
      <c r="S63" t="s">
        <v>1104</v>
      </c>
      <c r="T63" t="str">
        <f>_xlfn.DISPIMG("ID_20D913CC1B6341A5B521A2E70BA8B2C0",1)</f>
        <v>=DISPIMG("ID_20D913CC1B6341A5B521A2E70BA8B2C0",1)</v>
      </c>
      <c r="U63" s="82" t="s">
        <v>1344</v>
      </c>
      <c r="V63" s="5" t="s">
        <v>1105</v>
      </c>
    </row>
    <row r="64" customHeight="1" spans="1:22">
      <c r="A64" s="5" t="s">
        <v>1403</v>
      </c>
      <c r="B64" s="80">
        <v>8395337.55</v>
      </c>
      <c r="C64" s="18">
        <v>7765760.2</v>
      </c>
      <c r="D64" s="80">
        <f t="shared" si="10"/>
        <v>6.93333333333333</v>
      </c>
      <c r="E64" s="80">
        <f t="shared" si="18"/>
        <v>0.7</v>
      </c>
      <c r="F64" s="80"/>
      <c r="G64" s="80"/>
      <c r="H64" s="80">
        <v>7764360.77</v>
      </c>
      <c r="I64" s="16">
        <f t="shared" si="0"/>
        <v>7.51580000496824</v>
      </c>
      <c r="J64" s="16">
        <f t="shared" si="13"/>
        <v>0.315800004968239</v>
      </c>
      <c r="K64" s="80">
        <v>7.2</v>
      </c>
      <c r="L64" s="89">
        <v>45050.4166666667</v>
      </c>
      <c r="M64">
        <v>156</v>
      </c>
      <c r="N64">
        <v>4</v>
      </c>
      <c r="O64">
        <v>10.5</v>
      </c>
      <c r="P64">
        <v>7.9</v>
      </c>
      <c r="Q64">
        <v>2.4</v>
      </c>
      <c r="R64">
        <v>0.7</v>
      </c>
      <c r="S64" t="s">
        <v>1121</v>
      </c>
      <c r="U64" s="82" t="s">
        <v>1344</v>
      </c>
      <c r="V64" s="5" t="s">
        <v>1122</v>
      </c>
    </row>
    <row r="65" customHeight="1" spans="1:22">
      <c r="A65" s="31" t="s">
        <v>1404</v>
      </c>
      <c r="B65" s="80">
        <v>29257221.66</v>
      </c>
      <c r="C65" s="18">
        <v>27476712.13</v>
      </c>
      <c r="D65" s="80">
        <f t="shared" si="10"/>
        <v>4.23333333333333</v>
      </c>
      <c r="E65" s="80">
        <f t="shared" si="18"/>
        <v>0.5</v>
      </c>
      <c r="F65" s="80"/>
      <c r="G65" s="80"/>
      <c r="H65" s="80">
        <v>27481308.3</v>
      </c>
      <c r="I65" s="16">
        <f t="shared" si="0"/>
        <v>6.07000001790327</v>
      </c>
      <c r="J65" s="16">
        <f t="shared" si="13"/>
        <v>1.62999998209673</v>
      </c>
      <c r="K65" s="80">
        <v>7.7</v>
      </c>
      <c r="L65" s="89">
        <v>45050.4583333333</v>
      </c>
      <c r="M65">
        <v>167</v>
      </c>
      <c r="N65">
        <v>2</v>
      </c>
      <c r="O65">
        <v>0.7</v>
      </c>
      <c r="P65">
        <v>1.8</v>
      </c>
      <c r="Q65">
        <v>10.2</v>
      </c>
      <c r="R65">
        <v>0.5</v>
      </c>
      <c r="S65" t="s">
        <v>1124</v>
      </c>
      <c r="U65" s="82" t="s">
        <v>1344</v>
      </c>
      <c r="V65" s="31" t="s">
        <v>1125</v>
      </c>
    </row>
    <row r="66" customHeight="1" spans="1:22">
      <c r="A66" s="5" t="s">
        <v>1405</v>
      </c>
      <c r="B66" s="80">
        <v>4900212.61</v>
      </c>
      <c r="C66" s="18">
        <v>4657847.13</v>
      </c>
      <c r="D66" s="80">
        <f t="shared" si="10"/>
        <v>4.53333333333333</v>
      </c>
      <c r="E66" s="80">
        <f t="shared" si="18"/>
        <v>0.5</v>
      </c>
      <c r="F66" s="80"/>
      <c r="G66" s="80"/>
      <c r="H66" s="80">
        <v>4657098.13</v>
      </c>
      <c r="I66" s="16">
        <f t="shared" ref="I66:I83" si="19">100-100*H66/B66</f>
        <v>4.96130473000028</v>
      </c>
      <c r="J66" s="16">
        <f t="shared" si="13"/>
        <v>1.33869526999972</v>
      </c>
      <c r="K66" s="80">
        <v>6.3</v>
      </c>
      <c r="L66" s="89">
        <v>45051.4375</v>
      </c>
      <c r="M66">
        <v>154</v>
      </c>
      <c r="N66">
        <v>2</v>
      </c>
      <c r="O66">
        <v>2.2</v>
      </c>
      <c r="P66">
        <v>3.4</v>
      </c>
      <c r="Q66" s="90">
        <v>8</v>
      </c>
      <c r="R66">
        <v>0.5</v>
      </c>
      <c r="S66" s="35" t="s">
        <v>1134</v>
      </c>
      <c r="U66" s="82" t="s">
        <v>1344</v>
      </c>
      <c r="V66" s="5" t="s">
        <v>1135</v>
      </c>
    </row>
    <row r="67" customHeight="1" spans="1:23">
      <c r="A67" s="52" t="s">
        <v>1406</v>
      </c>
      <c r="B67" s="80">
        <v>11028944.24</v>
      </c>
      <c r="C67" s="18">
        <v>10182839.7</v>
      </c>
      <c r="D67" s="80">
        <f t="shared" si="10"/>
        <v>10.2666666666667</v>
      </c>
      <c r="E67" s="80">
        <f t="shared" si="18"/>
        <v>0.1</v>
      </c>
      <c r="F67" s="80"/>
      <c r="G67" s="80"/>
      <c r="H67" s="80">
        <v>10182239.68</v>
      </c>
      <c r="I67" s="16">
        <f t="shared" si="19"/>
        <v>7.67711343511154</v>
      </c>
      <c r="J67" s="16">
        <f t="shared" ref="J67:J83" si="20">ABS(I67-K67)</f>
        <v>2.67711343511154</v>
      </c>
      <c r="K67" s="80">
        <v>5</v>
      </c>
      <c r="L67" s="89">
        <v>45051.4583333333</v>
      </c>
      <c r="M67" s="13">
        <v>157</v>
      </c>
      <c r="N67" s="13">
        <v>2</v>
      </c>
      <c r="O67" s="13">
        <v>14.4</v>
      </c>
      <c r="P67" s="13">
        <v>10.8</v>
      </c>
      <c r="Q67" s="13">
        <v>5.6</v>
      </c>
      <c r="R67" s="13">
        <v>0.1</v>
      </c>
      <c r="S67" s="61" t="s">
        <v>1137</v>
      </c>
      <c r="T67" s="13"/>
      <c r="U67" s="60" t="s">
        <v>1344</v>
      </c>
      <c r="V67" s="52" t="s">
        <v>1138</v>
      </c>
      <c r="W67" s="13"/>
    </row>
    <row r="68" customHeight="1" spans="1:22">
      <c r="A68" s="5" t="s">
        <v>1407</v>
      </c>
      <c r="B68" s="80">
        <v>5836250.6</v>
      </c>
      <c r="C68" s="18">
        <v>5398805.73</v>
      </c>
      <c r="D68" s="80">
        <f t="shared" si="10"/>
        <v>7.56666666666667</v>
      </c>
      <c r="E68" s="80">
        <f t="shared" si="18"/>
        <v>0.3</v>
      </c>
      <c r="F68" s="80"/>
      <c r="G68" s="80"/>
      <c r="H68" s="80">
        <v>5398531</v>
      </c>
      <c r="I68" s="16">
        <f t="shared" si="19"/>
        <v>7.50001379310203</v>
      </c>
      <c r="J68" s="16">
        <f t="shared" si="20"/>
        <v>0.10001379310203</v>
      </c>
      <c r="K68" s="80">
        <v>7.4</v>
      </c>
      <c r="L68" s="89">
        <v>45051.4583333333</v>
      </c>
      <c r="M68">
        <v>149</v>
      </c>
      <c r="N68">
        <v>1</v>
      </c>
      <c r="O68">
        <v>1.5</v>
      </c>
      <c r="P68">
        <v>11.3</v>
      </c>
      <c r="Q68">
        <v>9.9</v>
      </c>
      <c r="R68">
        <v>0.3</v>
      </c>
      <c r="S68" s="35" t="s">
        <v>1140</v>
      </c>
      <c r="U68" s="82" t="s">
        <v>1344</v>
      </c>
      <c r="V68" s="5" t="s">
        <v>1141</v>
      </c>
    </row>
    <row r="69" customHeight="1" spans="1:22">
      <c r="A69" s="5" t="s">
        <v>1408</v>
      </c>
      <c r="B69" s="80">
        <v>6232106.18</v>
      </c>
      <c r="C69" s="18">
        <v>5904990</v>
      </c>
      <c r="D69" s="80">
        <f t="shared" si="10"/>
        <v>5.33333333333333</v>
      </c>
      <c r="E69" s="80">
        <f t="shared" si="18"/>
        <v>0.3</v>
      </c>
      <c r="F69" s="80"/>
      <c r="G69" s="80"/>
      <c r="H69" s="80">
        <v>5905396.26</v>
      </c>
      <c r="I69" s="16">
        <f t="shared" si="19"/>
        <v>5.24236767737484</v>
      </c>
      <c r="J69" s="16">
        <f t="shared" si="20"/>
        <v>0.0423676773748403</v>
      </c>
      <c r="K69" s="80">
        <v>5.2</v>
      </c>
      <c r="L69" s="89">
        <v>45058.375</v>
      </c>
      <c r="M69">
        <v>158</v>
      </c>
      <c r="N69">
        <v>4</v>
      </c>
      <c r="O69">
        <v>9.2</v>
      </c>
      <c r="P69">
        <v>6.2</v>
      </c>
      <c r="Q69">
        <v>0.6</v>
      </c>
      <c r="R69">
        <v>0.3</v>
      </c>
      <c r="S69" t="s">
        <v>1149</v>
      </c>
      <c r="T69" t="str">
        <f t="shared" ref="T69:T74" si="21">_xlfn.DISPIMG("ID_AE5BB9ECD6EB490583AA877CB1D8DF81",1)</f>
        <v>=DISPIMG("ID_AE5BB9ECD6EB490583AA877CB1D8DF81",1)</v>
      </c>
      <c r="U69" s="82" t="s">
        <v>1344</v>
      </c>
      <c r="V69" s="5" t="s">
        <v>1135</v>
      </c>
    </row>
    <row r="70" customHeight="1" spans="1:22">
      <c r="A70" s="5" t="s">
        <v>1409</v>
      </c>
      <c r="B70" s="80">
        <v>8238508.08</v>
      </c>
      <c r="C70" s="18">
        <v>7811323.31</v>
      </c>
      <c r="D70" s="80">
        <f t="shared" si="10"/>
        <v>3.73333333333333</v>
      </c>
      <c r="E70" s="80">
        <f t="shared" si="18"/>
        <v>0.1</v>
      </c>
      <c r="F70" s="80"/>
      <c r="G70" s="80"/>
      <c r="H70" s="80">
        <v>7810188.04</v>
      </c>
      <c r="I70" s="16">
        <f t="shared" si="19"/>
        <v>5.19900005972926</v>
      </c>
      <c r="J70" s="16">
        <f t="shared" si="20"/>
        <v>0.30099994027074</v>
      </c>
      <c r="K70" s="80">
        <v>5.5</v>
      </c>
      <c r="L70" s="89">
        <v>45061.3958333333</v>
      </c>
      <c r="M70">
        <v>161</v>
      </c>
      <c r="N70">
        <v>4</v>
      </c>
      <c r="O70">
        <v>2.5</v>
      </c>
      <c r="P70">
        <v>1.4</v>
      </c>
      <c r="Q70">
        <v>7.3</v>
      </c>
      <c r="R70">
        <v>0.1</v>
      </c>
      <c r="S70" t="s">
        <v>1151</v>
      </c>
      <c r="T70" t="str">
        <f t="shared" si="21"/>
        <v>=DISPIMG("ID_AE5BB9ECD6EB490583AA877CB1D8DF81",1)</v>
      </c>
      <c r="U70" s="82" t="s">
        <v>1344</v>
      </c>
      <c r="V70" s="5" t="s">
        <v>1152</v>
      </c>
    </row>
    <row r="71" customHeight="1" spans="1:22">
      <c r="A71" s="5" t="s">
        <v>1410</v>
      </c>
      <c r="B71" s="80">
        <v>14406571.66</v>
      </c>
      <c r="C71" s="18">
        <v>13344009.56</v>
      </c>
      <c r="D71" s="80">
        <f t="shared" si="10"/>
        <v>7.3</v>
      </c>
      <c r="E71" s="80">
        <f t="shared" si="18"/>
        <v>0.3</v>
      </c>
      <c r="F71" s="80"/>
      <c r="G71" s="80"/>
      <c r="H71" s="80">
        <v>13344298.32</v>
      </c>
      <c r="I71" s="16">
        <f t="shared" si="19"/>
        <v>7.37353316993115</v>
      </c>
      <c r="J71" s="16">
        <f t="shared" si="20"/>
        <v>0.71353316993115</v>
      </c>
      <c r="K71" s="80">
        <v>6.66</v>
      </c>
      <c r="L71" s="89">
        <v>45062.4583333333</v>
      </c>
      <c r="M71">
        <v>174</v>
      </c>
      <c r="N71">
        <v>4</v>
      </c>
      <c r="O71">
        <v>1.1</v>
      </c>
      <c r="P71">
        <v>9.3</v>
      </c>
      <c r="Q71">
        <v>11.5</v>
      </c>
      <c r="R71">
        <v>0.3</v>
      </c>
      <c r="S71" t="s">
        <v>1157</v>
      </c>
      <c r="T71" t="str">
        <f>_xlfn.DISPIMG("ID_29D5F81D10D14FC2B2B80F370856F2DF",1)</f>
        <v>=DISPIMG("ID_29D5F81D10D14FC2B2B80F370856F2DF",1)</v>
      </c>
      <c r="U71" s="82" t="s">
        <v>1344</v>
      </c>
      <c r="V71" s="5" t="s">
        <v>1158</v>
      </c>
    </row>
    <row r="72" customHeight="1" spans="1:22">
      <c r="A72" s="5" t="s">
        <v>1411</v>
      </c>
      <c r="B72" s="80">
        <v>5397409.64</v>
      </c>
      <c r="C72" s="18">
        <v>5122732.41</v>
      </c>
      <c r="D72" s="80">
        <f t="shared" si="10"/>
        <v>5.03333333333333</v>
      </c>
      <c r="E72" s="80">
        <f t="shared" si="18"/>
        <v>0.3</v>
      </c>
      <c r="F72" s="80"/>
      <c r="G72" s="80"/>
      <c r="H72" s="80">
        <v>5122363.59</v>
      </c>
      <c r="I72" s="16">
        <f t="shared" si="19"/>
        <v>5.09588984985767</v>
      </c>
      <c r="J72" s="16">
        <f t="shared" si="20"/>
        <v>1.24411015014233</v>
      </c>
      <c r="K72" s="80">
        <v>6.34</v>
      </c>
      <c r="L72" s="89">
        <v>45064.375</v>
      </c>
      <c r="M72">
        <v>162</v>
      </c>
      <c r="N72">
        <v>1</v>
      </c>
      <c r="O72">
        <v>5.1</v>
      </c>
      <c r="P72">
        <v>9.5</v>
      </c>
      <c r="Q72">
        <v>0.5</v>
      </c>
      <c r="R72">
        <v>0.3</v>
      </c>
      <c r="S72" t="s">
        <v>1165</v>
      </c>
      <c r="T72" t="str">
        <f t="shared" si="21"/>
        <v>=DISPIMG("ID_AE5BB9ECD6EB490583AA877CB1D8DF81",1)</v>
      </c>
      <c r="U72" s="82" t="s">
        <v>1344</v>
      </c>
      <c r="V72" s="5" t="s">
        <v>1166</v>
      </c>
    </row>
    <row r="73" customHeight="1" spans="1:22">
      <c r="A73" s="5" t="s">
        <v>1412</v>
      </c>
      <c r="B73" s="80">
        <v>14934174.95</v>
      </c>
      <c r="C73" s="18">
        <v>14323002.05</v>
      </c>
      <c r="D73" s="80">
        <f t="shared" si="10"/>
        <v>3.96666666666667</v>
      </c>
      <c r="E73" s="80">
        <f t="shared" si="18"/>
        <v>0.9</v>
      </c>
      <c r="F73" s="80"/>
      <c r="G73" s="80"/>
      <c r="H73" s="80">
        <v>14323683.57</v>
      </c>
      <c r="I73" s="16">
        <f t="shared" si="19"/>
        <v>4.0878815337569</v>
      </c>
      <c r="J73" s="16">
        <f t="shared" si="20"/>
        <v>1.1121184662431</v>
      </c>
      <c r="K73" s="80">
        <v>5.2</v>
      </c>
      <c r="L73" s="89">
        <v>45064.3958333333</v>
      </c>
      <c r="M73">
        <v>168</v>
      </c>
      <c r="N73">
        <v>4</v>
      </c>
      <c r="O73">
        <v>2.5</v>
      </c>
      <c r="P73">
        <v>6.2</v>
      </c>
      <c r="Q73">
        <v>3.2</v>
      </c>
      <c r="R73">
        <v>0.9</v>
      </c>
      <c r="S73" t="s">
        <v>1168</v>
      </c>
      <c r="T73" t="str">
        <f t="shared" si="21"/>
        <v>=DISPIMG("ID_AE5BB9ECD6EB490583AA877CB1D8DF81",1)</v>
      </c>
      <c r="U73" s="82" t="s">
        <v>1344</v>
      </c>
      <c r="V73" s="5" t="s">
        <v>1135</v>
      </c>
    </row>
    <row r="74" customHeight="1" spans="1:22">
      <c r="A74" s="5" t="s">
        <v>1413</v>
      </c>
      <c r="B74" s="80">
        <v>16944612.97</v>
      </c>
      <c r="C74" s="18">
        <v>16204517.79</v>
      </c>
      <c r="D74" s="80">
        <f t="shared" si="10"/>
        <v>4</v>
      </c>
      <c r="E74" s="80">
        <f t="shared" si="18"/>
        <v>0.7</v>
      </c>
      <c r="F74" s="80"/>
      <c r="G74" s="80"/>
      <c r="H74" s="80">
        <v>16202777.8</v>
      </c>
      <c r="I74" s="16">
        <f t="shared" si="19"/>
        <v>4.37800008364546</v>
      </c>
      <c r="J74" s="16">
        <f t="shared" si="20"/>
        <v>3.22199991635454</v>
      </c>
      <c r="K74" s="80">
        <v>7.6</v>
      </c>
      <c r="L74" s="89">
        <v>45064.4166666667</v>
      </c>
      <c r="M74">
        <v>168</v>
      </c>
      <c r="N74">
        <v>4</v>
      </c>
      <c r="O74">
        <v>4.4</v>
      </c>
      <c r="P74">
        <v>6.2</v>
      </c>
      <c r="Q74">
        <v>1.4</v>
      </c>
      <c r="R74">
        <v>0.7</v>
      </c>
      <c r="S74" t="s">
        <v>1170</v>
      </c>
      <c r="T74" t="str">
        <f t="shared" si="21"/>
        <v>=DISPIMG("ID_AE5BB9ECD6EB490583AA877CB1D8DF81",1)</v>
      </c>
      <c r="U74" s="82" t="s">
        <v>1344</v>
      </c>
      <c r="V74" s="5" t="s">
        <v>1171</v>
      </c>
    </row>
    <row r="75" customHeight="1" spans="1:22">
      <c r="A75" s="5" t="s">
        <v>1414</v>
      </c>
      <c r="B75" s="80">
        <v>19511896.4</v>
      </c>
      <c r="C75" s="18"/>
      <c r="D75" s="80">
        <f t="shared" si="10"/>
        <v>5.2</v>
      </c>
      <c r="E75" s="80">
        <f t="shared" si="18"/>
        <v>0.9</v>
      </c>
      <c r="F75" s="80"/>
      <c r="G75" s="80"/>
      <c r="H75" s="80">
        <v>18469570.89</v>
      </c>
      <c r="I75" s="16">
        <f t="shared" si="19"/>
        <v>5.34200002209933</v>
      </c>
      <c r="J75" s="16">
        <f t="shared" si="20"/>
        <v>1.95799997790067</v>
      </c>
      <c r="K75" s="80">
        <v>7.3</v>
      </c>
      <c r="L75" s="89">
        <v>45071.375</v>
      </c>
      <c r="M75">
        <v>174</v>
      </c>
      <c r="N75">
        <v>1</v>
      </c>
      <c r="O75">
        <v>4.2</v>
      </c>
      <c r="P75">
        <v>9.9</v>
      </c>
      <c r="Q75">
        <v>1.5</v>
      </c>
      <c r="R75">
        <v>0.9</v>
      </c>
      <c r="S75" t="s">
        <v>1177</v>
      </c>
      <c r="T75" t="str">
        <f>_xlfn.DISPIMG("ID_9132625E802C4E6EA25445E2A0279791",1)</f>
        <v>=DISPIMG("ID_9132625E802C4E6EA25445E2A0279791",1)</v>
      </c>
      <c r="U75" s="82" t="s">
        <v>1344</v>
      </c>
      <c r="V75" s="5" t="s">
        <v>1178</v>
      </c>
    </row>
    <row r="76" customHeight="1" spans="1:22">
      <c r="A76" s="5" t="s">
        <v>1415</v>
      </c>
      <c r="B76" s="80">
        <v>8838126.24</v>
      </c>
      <c r="C76" s="18">
        <v>7884453.61</v>
      </c>
      <c r="D76" s="80">
        <f t="shared" si="10"/>
        <v>11.4333333333333</v>
      </c>
      <c r="E76" s="80">
        <f t="shared" si="18"/>
        <v>0.7</v>
      </c>
      <c r="F76" s="80"/>
      <c r="G76" s="80"/>
      <c r="H76" s="80">
        <v>7879628.91</v>
      </c>
      <c r="I76" s="16">
        <f t="shared" si="19"/>
        <v>10.8450287308863</v>
      </c>
      <c r="J76" s="16">
        <f t="shared" si="20"/>
        <v>2.1850287308863</v>
      </c>
      <c r="K76" s="80">
        <v>8.66</v>
      </c>
      <c r="L76" s="89">
        <v>45071.3958333333</v>
      </c>
      <c r="M76">
        <v>168</v>
      </c>
      <c r="N76">
        <v>2</v>
      </c>
      <c r="O76">
        <v>13.7</v>
      </c>
      <c r="P76">
        <v>7.8</v>
      </c>
      <c r="Q76">
        <v>12.8</v>
      </c>
      <c r="R76">
        <v>0.7</v>
      </c>
      <c r="S76" t="s">
        <v>1183</v>
      </c>
      <c r="T76" t="str">
        <f>_xlfn.DISPIMG("ID_995273D54DAC4FB0A658266E8F0CD74B",1)</f>
        <v>=DISPIMG("ID_995273D54DAC4FB0A658266E8F0CD74B",1)</v>
      </c>
      <c r="U76" s="82" t="s">
        <v>1344</v>
      </c>
      <c r="V76" s="5" t="s">
        <v>1184</v>
      </c>
    </row>
    <row r="77" customHeight="1" spans="1:22">
      <c r="A77" s="5" t="s">
        <v>1416</v>
      </c>
      <c r="B77" s="80">
        <v>11131535.93</v>
      </c>
      <c r="C77" s="18">
        <v>10348173.78</v>
      </c>
      <c r="D77" s="80">
        <f t="shared" si="10"/>
        <v>6.86666666666667</v>
      </c>
      <c r="E77" s="80">
        <f t="shared" si="18"/>
        <v>0.7</v>
      </c>
      <c r="F77" s="80"/>
      <c r="G77" s="80"/>
      <c r="H77" s="80">
        <v>10347528.25</v>
      </c>
      <c r="I77" s="16">
        <f t="shared" si="19"/>
        <v>7.04312221539045</v>
      </c>
      <c r="J77" s="16">
        <f t="shared" si="20"/>
        <v>0.54312221539045</v>
      </c>
      <c r="K77" s="80">
        <v>6.5</v>
      </c>
      <c r="L77" s="89">
        <v>45079.3958333333</v>
      </c>
      <c r="M77">
        <v>174</v>
      </c>
      <c r="N77">
        <v>2</v>
      </c>
      <c r="O77">
        <v>6.6</v>
      </c>
      <c r="P77">
        <v>2.3</v>
      </c>
      <c r="Q77">
        <v>11.7</v>
      </c>
      <c r="R77">
        <v>0.7</v>
      </c>
      <c r="S77" t="s">
        <v>1201</v>
      </c>
      <c r="T77" t="str">
        <f>_xlfn.DISPIMG("ID_05B137B9A58A47DB8D3A48962F4AB579",1)</f>
        <v>=DISPIMG("ID_05B137B9A58A47DB8D3A48962F4AB579",1)</v>
      </c>
      <c r="U77" s="82" t="s">
        <v>1344</v>
      </c>
      <c r="V77" s="5" t="s">
        <v>1202</v>
      </c>
    </row>
    <row r="78" customHeight="1" spans="1:22">
      <c r="A78" s="5" t="s">
        <v>1417</v>
      </c>
      <c r="B78" s="80">
        <v>223281864.91</v>
      </c>
      <c r="C78" s="18">
        <v>194031940.61</v>
      </c>
      <c r="D78" s="80">
        <f t="shared" si="10"/>
        <v>13.1</v>
      </c>
      <c r="E78" s="80"/>
      <c r="F78" s="80"/>
      <c r="G78" s="80"/>
      <c r="H78" s="80">
        <v>193734975.73</v>
      </c>
      <c r="I78" s="16">
        <f t="shared" si="19"/>
        <v>13.2329999984144</v>
      </c>
      <c r="J78" s="16">
        <f t="shared" si="20"/>
        <v>0.5329999984144</v>
      </c>
      <c r="K78" s="80">
        <v>12.7</v>
      </c>
      <c r="L78" s="89">
        <v>45083.3958333333</v>
      </c>
      <c r="M78">
        <v>45</v>
      </c>
      <c r="N78">
        <v>4</v>
      </c>
      <c r="O78">
        <v>13.9</v>
      </c>
      <c r="P78">
        <v>11.7</v>
      </c>
      <c r="Q78">
        <v>13.7</v>
      </c>
      <c r="S78" t="s">
        <v>1204</v>
      </c>
      <c r="T78" t="str">
        <f>_xlfn.DISPIMG("ID_7440420982544900B6C7CD90F3E0F17F",1)</f>
        <v>=DISPIMG("ID_7440420982544900B6C7CD90F3E0F17F",1)</v>
      </c>
      <c r="U78" s="82" t="s">
        <v>1344</v>
      </c>
      <c r="V78" s="5" t="s">
        <v>1206</v>
      </c>
    </row>
    <row r="79" customHeight="1" spans="1:22">
      <c r="A79" s="5" t="s">
        <v>1418</v>
      </c>
      <c r="B79" s="80">
        <v>8167717.4</v>
      </c>
      <c r="C79" s="18">
        <v>7471319.57</v>
      </c>
      <c r="D79" s="80">
        <f t="shared" si="10"/>
        <v>8.63333333333333</v>
      </c>
      <c r="E79" s="80">
        <f t="shared" ref="E79:E82" si="22">R79</f>
        <v>0.9</v>
      </c>
      <c r="F79" s="80"/>
      <c r="G79" s="80"/>
      <c r="H79" s="80">
        <v>7471051.95</v>
      </c>
      <c r="I79" s="16">
        <f t="shared" si="19"/>
        <v>8.52949993103337</v>
      </c>
      <c r="J79" s="16">
        <f t="shared" si="20"/>
        <v>1.12949993103337</v>
      </c>
      <c r="K79" s="80">
        <v>7.4</v>
      </c>
      <c r="L79" s="89">
        <v>45085.3958333333</v>
      </c>
      <c r="M79">
        <v>167</v>
      </c>
      <c r="N79">
        <v>4</v>
      </c>
      <c r="O79">
        <v>6.4</v>
      </c>
      <c r="P79">
        <v>10.2</v>
      </c>
      <c r="Q79">
        <v>9.3</v>
      </c>
      <c r="R79">
        <v>0.9</v>
      </c>
      <c r="S79" t="s">
        <v>1208</v>
      </c>
      <c r="T79" t="str">
        <f>_xlfn.DISPIMG("ID_05B137B9A58A47DB8D3A48962F4AB579",1)</f>
        <v>=DISPIMG("ID_05B137B9A58A47DB8D3A48962F4AB579",1)</v>
      </c>
      <c r="U79" s="82" t="s">
        <v>1344</v>
      </c>
      <c r="V79" s="5" t="s">
        <v>1209</v>
      </c>
    </row>
    <row r="80" customHeight="1" spans="1:22">
      <c r="A80" s="5" t="s">
        <v>1419</v>
      </c>
      <c r="B80" s="80">
        <v>4064566.48</v>
      </c>
      <c r="C80" s="18">
        <v>3904949.72</v>
      </c>
      <c r="D80" s="80">
        <f t="shared" si="10"/>
        <v>2.73333333333333</v>
      </c>
      <c r="E80" s="80">
        <f t="shared" si="22"/>
        <v>0.5</v>
      </c>
      <c r="F80" s="80"/>
      <c r="G80" s="80"/>
      <c r="H80" s="80">
        <v>3905035.31</v>
      </c>
      <c r="I80" s="16">
        <f t="shared" si="19"/>
        <v>3.92492460844188</v>
      </c>
      <c r="J80" s="16">
        <f t="shared" si="20"/>
        <v>1.03507539155812</v>
      </c>
      <c r="K80" s="80">
        <v>4.96</v>
      </c>
      <c r="L80" s="89">
        <v>45086.3541666667</v>
      </c>
      <c r="M80">
        <v>164</v>
      </c>
      <c r="N80">
        <v>3</v>
      </c>
      <c r="O80">
        <v>4.8</v>
      </c>
      <c r="P80">
        <v>2.6</v>
      </c>
      <c r="Q80">
        <v>0.8</v>
      </c>
      <c r="R80">
        <v>0.5</v>
      </c>
      <c r="S80" t="s">
        <v>1211</v>
      </c>
      <c r="T80" t="str">
        <f>_xlfn.DISPIMG("ID_AE5BB9ECD6EB490583AA877CB1D8DF81",1)</f>
        <v>=DISPIMG("ID_AE5BB9ECD6EB490583AA877CB1D8DF81",1)</v>
      </c>
      <c r="U80" s="82" t="s">
        <v>1344</v>
      </c>
      <c r="V80" s="5" t="s">
        <v>1212</v>
      </c>
    </row>
    <row r="81" customHeight="1" spans="1:22">
      <c r="A81" s="5" t="s">
        <v>1420</v>
      </c>
      <c r="B81" s="80">
        <v>17776320.45</v>
      </c>
      <c r="C81" s="18">
        <v>16920480.6</v>
      </c>
      <c r="D81" s="80">
        <f t="shared" si="10"/>
        <v>4.36666666666667</v>
      </c>
      <c r="E81" s="80">
        <f t="shared" si="22"/>
        <v>0.5</v>
      </c>
      <c r="F81" s="80"/>
      <c r="G81" s="80"/>
      <c r="H81" s="80">
        <v>16918580.51</v>
      </c>
      <c r="I81" s="16">
        <f t="shared" si="19"/>
        <v>4.82518270534439</v>
      </c>
      <c r="J81" s="16">
        <f t="shared" si="20"/>
        <v>0.22518270534439</v>
      </c>
      <c r="K81" s="80">
        <v>4.6</v>
      </c>
      <c r="L81" s="89">
        <v>45092.375</v>
      </c>
      <c r="M81">
        <v>176</v>
      </c>
      <c r="N81">
        <v>4</v>
      </c>
      <c r="O81">
        <v>1.4</v>
      </c>
      <c r="P81">
        <v>9.2</v>
      </c>
      <c r="Q81">
        <v>2.5</v>
      </c>
      <c r="R81">
        <v>0.5</v>
      </c>
      <c r="S81" t="s">
        <v>1218</v>
      </c>
      <c r="T81" t="str">
        <f>_xlfn.DISPIMG("ID_AE5BB9ECD6EB490583AA877CB1D8DF81",1)</f>
        <v>=DISPIMG("ID_AE5BB9ECD6EB490583AA877CB1D8DF81",1)</v>
      </c>
      <c r="U81" s="82" t="s">
        <v>1344</v>
      </c>
      <c r="V81" s="5" t="s">
        <v>1219</v>
      </c>
    </row>
    <row r="82" customHeight="1" spans="1:22">
      <c r="A82" s="5" t="s">
        <v>1421</v>
      </c>
      <c r="B82" s="80">
        <v>9216194.55</v>
      </c>
      <c r="C82" s="18">
        <v>8047615.34</v>
      </c>
      <c r="D82" s="80">
        <f t="shared" si="10"/>
        <v>12.9</v>
      </c>
      <c r="E82" s="80">
        <f t="shared" si="22"/>
        <v>0.3</v>
      </c>
      <c r="F82" s="80"/>
      <c r="G82" s="80"/>
      <c r="H82" s="80">
        <v>8046847.95</v>
      </c>
      <c r="I82" s="16">
        <f t="shared" si="19"/>
        <v>12.6879548131935</v>
      </c>
      <c r="J82" s="16">
        <f t="shared" si="20"/>
        <v>0.6879548131935</v>
      </c>
      <c r="K82" s="80">
        <v>12</v>
      </c>
      <c r="L82" s="89">
        <v>45105.4583333333</v>
      </c>
      <c r="M82">
        <v>166</v>
      </c>
      <c r="N82">
        <v>3</v>
      </c>
      <c r="O82">
        <v>13.9</v>
      </c>
      <c r="P82">
        <v>14.2</v>
      </c>
      <c r="Q82">
        <v>10.6</v>
      </c>
      <c r="R82">
        <v>0.3</v>
      </c>
      <c r="S82" t="s">
        <v>1237</v>
      </c>
      <c r="T82" t="str">
        <f>_xlfn.DISPIMG("ID_53926C45FAD7445A99C6151A38F98956",1)</f>
        <v>=DISPIMG("ID_53926C45FAD7445A99C6151A38F98956",1)</v>
      </c>
      <c r="U82" s="82" t="s">
        <v>1344</v>
      </c>
      <c r="V82" s="5" t="s">
        <v>1239</v>
      </c>
    </row>
    <row r="83" customHeight="1" spans="1:22">
      <c r="A83" s="20" t="s">
        <v>1422</v>
      </c>
      <c r="B83" s="80">
        <v>3878149.17</v>
      </c>
      <c r="C83" s="18">
        <v>3472106.95</v>
      </c>
      <c r="D83" s="80">
        <f t="shared" si="10"/>
        <v>10.4666666666667</v>
      </c>
      <c r="H83" s="80">
        <v>3474821.66</v>
      </c>
      <c r="I83" s="16">
        <f t="shared" si="19"/>
        <v>10.3999999051094</v>
      </c>
      <c r="J83" s="16">
        <f t="shared" si="20"/>
        <v>0.599999905109399</v>
      </c>
      <c r="K83" s="80">
        <v>9.8</v>
      </c>
      <c r="L83" s="89">
        <v>45113.375</v>
      </c>
      <c r="N83">
        <v>3</v>
      </c>
      <c r="O83">
        <v>12.5</v>
      </c>
      <c r="P83">
        <v>15</v>
      </c>
      <c r="Q83">
        <v>3.9</v>
      </c>
      <c r="S83" t="s">
        <v>1260</v>
      </c>
      <c r="T83" t="str">
        <f>_xlfn.DISPIMG("ID_D313F0814D2A4950B6928E38FC98FEA3",1)</f>
        <v>=DISPIMG("ID_D313F0814D2A4950B6928E38FC98FEA3",1)</v>
      </c>
      <c r="U83" s="82" t="s">
        <v>1344</v>
      </c>
      <c r="V83" s="20" t="s">
        <v>1261</v>
      </c>
    </row>
  </sheetData>
  <autoFilter ref="A1:X83">
    <extLst/>
  </autoFilter>
  <conditionalFormatting sqref="A1:E1 H1:W1">
    <cfRule type="duplicateValues" dxfId="0" priority="1"/>
  </conditionalFormatting>
  <hyperlinks>
    <hyperlink ref="S2" r:id="rId1" display="https://ggj.chizhou.gov.cn/front/bidcontent/9005001004/7cb3898959644f8a8a2b55d4f608376c"/>
    <hyperlink ref="S3" r:id="rId2" display="https://ggj.chizhou.gov.cn/front/bidcontent/9005001004/7833d1771fc1401794b4fbb592bae93c"/>
    <hyperlink ref="S4" r:id="rId3" display="https://ggj.chizhou.gov.cn/front/bidcontent/9005001004/db387280c584483eb0b6b889c1789819"/>
    <hyperlink ref="S5" r:id="rId4" display="https://ggj.chizhou.gov.cn/front/bidcontent/9005001004/c86e956e9d2e4a1999cc42cd73f3c6d2"/>
    <hyperlink ref="S6" r:id="rId5" display="https://ggj.chizhou.gov.cn/front/bidcontent/9005001004/a78c6f6e2e0c41ddb54da8935e9f9332"/>
    <hyperlink ref="S7" r:id="rId6" display="https://ggj.chizhou.gov.cn/front/bidcontent/9005001004/da86ab0707a64463a8777fc60c4c8107"/>
    <hyperlink ref="S8" r:id="rId7" display="https://ggj.chizhou.gov.cn/front/bidcontent/9005001004/a74fb539ab8e46c983efd8e1081782a0"/>
    <hyperlink ref="S9" r:id="rId8" display="https://ggj.chizhou.gov.cn/front/bidcontent/9005001004/cc231260ec9a4651b9152c1e3846e449"/>
    <hyperlink ref="S10" r:id="rId9" display="https://ggj.chizhou.gov.cn/front/bidcontent/9005001004/866d6c15d7bd4e20a03037752370442a"/>
    <hyperlink ref="S11" r:id="rId10" display="https://ggj.chizhou.gov.cn/front/bidcontent/9005001004/a9295cf82dde42e585dc65c05201efed"/>
    <hyperlink ref="S12" r:id="rId11" display="https://ggj.chizhou.gov.cn/front/bidcontent/9005001004/4ae81a26a1a8464b9aa80042228c3e76"/>
    <hyperlink ref="S13" r:id="rId12" display="https://ggj.chizhou.gov.cn/front/bidcontent/9005001004/91490b657ef148ac980cea14fc66e4c3"/>
    <hyperlink ref="S14" r:id="rId13" display="https://ggj.chizhou.gov.cn/front/bidcontent/9005001004/e2b6f2e0342242a59723d2ff04673eed"/>
    <hyperlink ref="S20" r:id="rId14" display="https://ggj.chizhou.gov.cn/front/bidcontent/9005001004/50e9a20e6b3241e8861ef95330c05e0a"/>
    <hyperlink ref="S17" r:id="rId15" display="https://ggj.chizhou.gov.cn/front/bidcontent/9005001004/bdf76aee46c94347ba5912fc98098b9c"/>
    <hyperlink ref="S18" r:id="rId16" display="https://ggj.chizhou.gov.cn/front/bidcontent/9005001004/2aee03f4781f47219557e7bbb72820c6"/>
    <hyperlink ref="S16" r:id="rId17" display="https://ggj.chizhou.gov.cn/front/bidcontent/9005001004/316190a3bbb64756b82211865922ae3c"/>
    <hyperlink ref="S15" r:id="rId18" display="https://ggj.chizhou.gov.cn/front/bidcontent/9005001004/dfe7ffac1e8a49b09d53ac0a3432d6a6"/>
    <hyperlink ref="S19" r:id="rId19" display="https://ggj.chizhou.gov.cn/front/bidcontent/9005001004/c84864e77a28422cb1a2314105d826de"/>
    <hyperlink ref="S21" r:id="rId20" display="https://ggj.chizhou.gov.cn/front/bidcontent/9005001004/0e2662233c704bbf9cddfdcd8c9426ca"/>
    <hyperlink ref="S22" r:id="rId21" display="https://ggj.chizhou.gov.cn/front/bidcontent/9005001004/11f267c0245d4c368cbb43707262f12e"/>
    <hyperlink ref="S23" r:id="rId22" display="https://ggj.chizhou.gov.cn/front/bidcontent/9005001004/4d42cd0e4928481aa35451b9b75e0ce3"/>
    <hyperlink ref="S26" r:id="rId23" display="https://ggj.chizhou.gov.cn/front/bidcontent/9005001004/65144d4e4df64ab985cc0b04e79abd42"/>
    <hyperlink ref="S25" r:id="rId24" display="https://ggj.chizhou.gov.cn/front/bidcontent/9005001004/4b7f3a608741460caefc25354e17b954"/>
    <hyperlink ref="S28" r:id="rId25" display="https://ggj.chizhou.gov.cn/front/bidcontent/9005001004/5ca2528d11054aff8fc2ebb107f6f51c"/>
    <hyperlink ref="S36" r:id="rId26" display="https://ggj.chizhou.gov.cn/front/bidcontent/9005001004/6b75dc75e9a147ff9814be9dd5a192a2"/>
    <hyperlink ref="S38" r:id="rId27" display="https://ggj.chizhou.gov.cn/front/bidcontent/9005001004/a797537dc7c04e07b608e7c4e8b94509"/>
    <hyperlink ref="S57" r:id="rId28" display="https://ggj.chizhou.gov.cn/front/bidcontent/9005001004/023960edd7f5493c907e87afca6d852b"/>
    <hyperlink ref="S67" r:id="rId29" display="https://ggj.chizhou.gov.cn/front/bidcontent/9005001004/d50e1573c3fa48b5af436ae3f222136b"/>
    <hyperlink ref="S66" r:id="rId30" display="https://ggj.chizhou.gov.cn/front/bidcontent/9005001004/1c4758c9aba440e5967703660d98d285"/>
    <hyperlink ref="S68" r:id="rId31" display="https://ggj.chizhou.gov.cn/front/bidcontent/9005001004/56a685e74747480097198e30a71b4bc5"/>
  </hyperlink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Y226"/>
  <sheetViews>
    <sheetView zoomScale="85" zoomScaleNormal="85" workbookViewId="0">
      <pane ySplit="1" topLeftCell="A178" activePane="bottomLeft" state="frozen"/>
      <selection/>
      <selection pane="bottomLeft" activeCell="C205" sqref="C205"/>
    </sheetView>
  </sheetViews>
  <sheetFormatPr defaultColWidth="9" defaultRowHeight="26" customHeight="1"/>
  <cols>
    <col min="1" max="1" width="41.0833333333333" style="13" customWidth="1"/>
    <col min="2" max="2" width="17.375" style="45" customWidth="1"/>
    <col min="3" max="3" width="15.2083333333333" style="45" customWidth="1"/>
    <col min="4" max="4" width="15.875" style="45"/>
    <col min="5" max="5" width="5.375" style="46" customWidth="1"/>
    <col min="6" max="6" width="9.45" style="46" customWidth="1"/>
    <col min="7" max="7" width="20.375" style="46" customWidth="1"/>
    <col min="8" max="8" width="15.875" style="45" customWidth="1"/>
    <col min="9" max="9" width="16" style="46"/>
    <col min="10" max="10" width="4.23333333333333" style="13" customWidth="1"/>
    <col min="11" max="11" width="9.375" style="46" customWidth="1"/>
    <col min="12" max="12" width="21.5" style="47" customWidth="1"/>
    <col min="13" max="13" width="9.375" style="46" customWidth="1"/>
    <col min="14" max="14" width="7.875" style="13" customWidth="1"/>
    <col min="15" max="17" width="4.125" style="13" customWidth="1"/>
    <col min="18" max="18" width="4.375" style="13" customWidth="1"/>
    <col min="19" max="19" width="9" style="13"/>
    <col min="20" max="21" width="16.5" style="13" customWidth="1"/>
    <col min="22" max="22" width="14.8833333333333" style="48" customWidth="1"/>
    <col min="23" max="23" width="9" style="49"/>
    <col min="24" max="16384" width="9" style="13"/>
  </cols>
  <sheetData>
    <row r="1" s="43" customFormat="1" customHeight="1" spans="1:25">
      <c r="A1" s="50" t="s">
        <v>0</v>
      </c>
      <c r="B1" s="45" t="s">
        <v>1</v>
      </c>
      <c r="C1" s="45" t="s">
        <v>1342</v>
      </c>
      <c r="D1" s="45" t="s">
        <v>3</v>
      </c>
      <c r="E1" s="49" t="s">
        <v>4</v>
      </c>
      <c r="F1" s="51" t="s">
        <v>5</v>
      </c>
      <c r="G1" s="51" t="s">
        <v>6</v>
      </c>
      <c r="H1" s="45" t="s">
        <v>7</v>
      </c>
      <c r="I1" s="49" t="s">
        <v>8</v>
      </c>
      <c r="J1" s="50" t="s">
        <v>9</v>
      </c>
      <c r="K1" s="49" t="s">
        <v>10</v>
      </c>
      <c r="L1" s="58" t="s">
        <v>11</v>
      </c>
      <c r="M1" s="49" t="s">
        <v>12</v>
      </c>
      <c r="N1" s="50" t="s">
        <v>13</v>
      </c>
      <c r="O1" s="50" t="s">
        <v>14</v>
      </c>
      <c r="P1" s="50" t="s">
        <v>15</v>
      </c>
      <c r="Q1" s="50" t="s">
        <v>16</v>
      </c>
      <c r="R1" s="50" t="s">
        <v>17</v>
      </c>
      <c r="S1" s="50" t="s">
        <v>18</v>
      </c>
      <c r="T1" s="50" t="s">
        <v>19</v>
      </c>
      <c r="U1" s="50" t="s">
        <v>20</v>
      </c>
      <c r="V1" s="48" t="s">
        <v>21</v>
      </c>
      <c r="W1" s="49" t="s">
        <v>22</v>
      </c>
      <c r="X1" s="50" t="s">
        <v>23</v>
      </c>
      <c r="Y1" s="50"/>
    </row>
    <row r="2" customHeight="1" spans="1:23">
      <c r="A2" s="52" t="s">
        <v>1423</v>
      </c>
      <c r="B2" s="45">
        <v>4438756.66</v>
      </c>
      <c r="D2" s="45">
        <v>0.1</v>
      </c>
      <c r="H2" s="45">
        <v>4295143</v>
      </c>
      <c r="I2" s="46">
        <f t="shared" ref="I2:I65" si="0">100-100*H2/B2</f>
        <v>3.23544791932794</v>
      </c>
      <c r="J2" s="46"/>
      <c r="K2" s="46">
        <v>8</v>
      </c>
      <c r="L2" s="47">
        <v>44314.375</v>
      </c>
      <c r="M2" s="46">
        <v>58</v>
      </c>
      <c r="S2" s="13" t="s">
        <v>71</v>
      </c>
      <c r="T2" s="13" t="str">
        <f>_xlfn.DISPIMG("ID_5C1B5B8EA2164BF49185CA64500D4BE4",1)</f>
        <v>=DISPIMG("ID_5C1B5B8EA2164BF49185CA64500D4BE4",1)</v>
      </c>
      <c r="U2" s="13" t="s">
        <v>39</v>
      </c>
      <c r="V2" s="60" t="s">
        <v>1424</v>
      </c>
      <c r="W2" s="49" t="s">
        <v>72</v>
      </c>
    </row>
    <row r="3" customHeight="1" spans="1:23">
      <c r="A3" s="52" t="s">
        <v>1425</v>
      </c>
      <c r="B3" s="45">
        <v>1008729.45</v>
      </c>
      <c r="D3" s="45">
        <v>98.8</v>
      </c>
      <c r="E3" s="46">
        <v>20</v>
      </c>
      <c r="H3" s="45">
        <v>930048.63</v>
      </c>
      <c r="I3" s="59">
        <f t="shared" si="0"/>
        <v>7.79999235672162</v>
      </c>
      <c r="J3" s="46"/>
      <c r="K3" s="46">
        <v>6.6</v>
      </c>
      <c r="L3" s="47">
        <v>44307.375</v>
      </c>
      <c r="M3" s="46">
        <v>159</v>
      </c>
      <c r="S3" s="13" t="s">
        <v>62</v>
      </c>
      <c r="T3" s="13" t="str">
        <f>_xlfn.DISPIMG("ID_A7C8554973CD403FAE9FF1334A4E7093",1)</f>
        <v>=DISPIMG("ID_A7C8554973CD403FAE9FF1334A4E7093",1)</v>
      </c>
      <c r="U3" s="13" t="s">
        <v>26</v>
      </c>
      <c r="V3" s="60" t="s">
        <v>59</v>
      </c>
      <c r="W3" s="49" t="s">
        <v>63</v>
      </c>
    </row>
    <row r="4" customHeight="1" spans="1:23">
      <c r="A4" s="53" t="s">
        <v>1426</v>
      </c>
      <c r="B4" s="45">
        <v>4388186.96</v>
      </c>
      <c r="H4" s="45">
        <v>4105716.15</v>
      </c>
      <c r="I4" s="59">
        <f t="shared" si="0"/>
        <v>6.43707327365104</v>
      </c>
      <c r="J4" s="46"/>
      <c r="K4" s="46">
        <v>9.5</v>
      </c>
      <c r="L4" s="47">
        <v>44323.375</v>
      </c>
      <c r="M4" s="46">
        <v>59</v>
      </c>
      <c r="S4" s="13" t="s">
        <v>85</v>
      </c>
      <c r="T4" s="13" t="str">
        <f>_xlfn.DISPIMG("ID_A7C8554973CD403FAE9FF1334A4E7093",1)</f>
        <v>=DISPIMG("ID_A7C8554973CD403FAE9FF1334A4E7093",1)</v>
      </c>
      <c r="U4" s="13" t="s">
        <v>26</v>
      </c>
      <c r="V4" s="48" t="s">
        <v>86</v>
      </c>
      <c r="W4" s="49" t="s">
        <v>87</v>
      </c>
    </row>
    <row r="5" customHeight="1" spans="1:23">
      <c r="A5" s="53" t="s">
        <v>1427</v>
      </c>
      <c r="B5" s="45">
        <v>4320323.45</v>
      </c>
      <c r="H5" s="45">
        <v>3954493.89</v>
      </c>
      <c r="I5" s="59">
        <f t="shared" si="0"/>
        <v>8.46764285669398</v>
      </c>
      <c r="J5" s="46"/>
      <c r="K5" s="46">
        <v>6.6</v>
      </c>
      <c r="L5" s="47">
        <v>44323.375</v>
      </c>
      <c r="M5" s="46">
        <v>54</v>
      </c>
      <c r="S5" s="13" t="s">
        <v>89</v>
      </c>
      <c r="T5" s="13" t="str">
        <f>_xlfn.DISPIMG("ID_A7C8554973CD403FAE9FF1334A4E7093",1)</f>
        <v>=DISPIMG("ID_A7C8554973CD403FAE9FF1334A4E7093",1)</v>
      </c>
      <c r="U5" s="13" t="s">
        <v>26</v>
      </c>
      <c r="V5" s="48" t="s">
        <v>86</v>
      </c>
      <c r="W5" s="49" t="s">
        <v>90</v>
      </c>
    </row>
    <row r="6" customHeight="1" spans="1:23">
      <c r="A6" s="52" t="s">
        <v>64</v>
      </c>
      <c r="B6" s="45">
        <v>1078663.83</v>
      </c>
      <c r="D6" s="45">
        <v>98.8</v>
      </c>
      <c r="E6" s="46">
        <v>17</v>
      </c>
      <c r="H6" s="45">
        <v>995681.5</v>
      </c>
      <c r="I6" s="59">
        <f t="shared" si="0"/>
        <v>7.6930668936957</v>
      </c>
      <c r="J6" s="46"/>
      <c r="K6" s="46">
        <v>7.3</v>
      </c>
      <c r="L6" s="47">
        <v>44307.375</v>
      </c>
      <c r="M6" s="46">
        <v>159</v>
      </c>
      <c r="S6" s="13" t="s">
        <v>65</v>
      </c>
      <c r="T6" s="13" t="str">
        <f>_xlfn.DISPIMG("ID_A7C8554973CD403FAE9FF1334A4E7093",1)</f>
        <v>=DISPIMG("ID_A7C8554973CD403FAE9FF1334A4E7093",1)</v>
      </c>
      <c r="U6" s="13" t="s">
        <v>26</v>
      </c>
      <c r="V6" s="60" t="s">
        <v>59</v>
      </c>
      <c r="W6" s="49" t="s">
        <v>66</v>
      </c>
    </row>
    <row r="7" customHeight="1" spans="1:23">
      <c r="A7" s="52" t="s">
        <v>1428</v>
      </c>
      <c r="B7" s="45">
        <v>70472614.02</v>
      </c>
      <c r="D7" s="45">
        <v>99.2</v>
      </c>
      <c r="H7" s="45">
        <v>67232764.56</v>
      </c>
      <c r="I7" s="46">
        <f t="shared" si="0"/>
        <v>4.59731699335083</v>
      </c>
      <c r="J7" s="46"/>
      <c r="K7" s="46">
        <v>7.6</v>
      </c>
      <c r="L7" s="47">
        <v>44323.375</v>
      </c>
      <c r="S7" s="13" t="s">
        <v>92</v>
      </c>
      <c r="T7" s="13" t="str">
        <f>_xlfn.DISPIMG("ID_87ED0F4657E5454A80DCDDB38A3AE5EE",1)</f>
        <v>=DISPIMG("ID_87ED0F4657E5454A80DCDDB38A3AE5EE",1)</v>
      </c>
      <c r="U7" s="13" t="s">
        <v>81</v>
      </c>
      <c r="V7" s="60" t="s">
        <v>1429</v>
      </c>
      <c r="W7" s="49" t="s">
        <v>93</v>
      </c>
    </row>
    <row r="8" customHeight="1" spans="1:23">
      <c r="A8" s="52" t="s">
        <v>1430</v>
      </c>
      <c r="B8" s="45">
        <v>780000</v>
      </c>
      <c r="H8" s="45">
        <v>679074.92</v>
      </c>
      <c r="I8" s="46">
        <f t="shared" si="0"/>
        <v>12.9391128205128</v>
      </c>
      <c r="J8" s="46"/>
      <c r="K8" s="46">
        <v>10</v>
      </c>
      <c r="L8" s="47">
        <v>44324.375</v>
      </c>
      <c r="M8" s="46">
        <v>21</v>
      </c>
      <c r="S8" s="13" t="s">
        <v>95</v>
      </c>
      <c r="T8" s="13" t="str">
        <f>_xlfn.DISPIMG("ID_1DE4FB44CB4540119B5BFE96902CB991",1)</f>
        <v>=DISPIMG("ID_1DE4FB44CB4540119B5BFE96902CB991",1)</v>
      </c>
      <c r="U8" s="13" t="s">
        <v>96</v>
      </c>
      <c r="V8" s="60" t="s">
        <v>1431</v>
      </c>
      <c r="W8" s="49" t="s">
        <v>98</v>
      </c>
    </row>
    <row r="9" customHeight="1" spans="1:23">
      <c r="A9" s="52" t="s">
        <v>1432</v>
      </c>
      <c r="B9" s="45">
        <v>20889294.03</v>
      </c>
      <c r="D9" s="45">
        <v>101.2</v>
      </c>
      <c r="E9" s="46">
        <v>13</v>
      </c>
      <c r="H9" s="45">
        <v>19589279.37</v>
      </c>
      <c r="I9" s="46">
        <f t="shared" si="0"/>
        <v>6.22335373389352</v>
      </c>
      <c r="J9" s="46"/>
      <c r="K9" s="46">
        <v>6.5</v>
      </c>
      <c r="L9" s="47">
        <v>44323.375</v>
      </c>
      <c r="M9" s="46">
        <v>274</v>
      </c>
      <c r="S9" s="49" t="s">
        <v>80</v>
      </c>
      <c r="T9" s="13" t="str">
        <f>_xlfn.DISPIMG("ID_87ED0F4657E5454A80DCDDB38A3AE5EE",1)</f>
        <v>=DISPIMG("ID_87ED0F4657E5454A80DCDDB38A3AE5EE",1)</v>
      </c>
      <c r="U9" s="13" t="s">
        <v>81</v>
      </c>
      <c r="V9" s="60" t="s">
        <v>82</v>
      </c>
      <c r="W9" s="49" t="s">
        <v>83</v>
      </c>
    </row>
    <row r="10" customHeight="1" spans="1:23">
      <c r="A10" s="54" t="s">
        <v>1433</v>
      </c>
      <c r="B10" s="45">
        <v>10587688.14</v>
      </c>
      <c r="D10" s="45">
        <v>0.4</v>
      </c>
      <c r="H10" s="45">
        <v>10216847.67</v>
      </c>
      <c r="I10" s="46">
        <f t="shared" si="0"/>
        <v>3.5025632139558</v>
      </c>
      <c r="J10" s="46"/>
      <c r="K10" s="46">
        <v>5.6</v>
      </c>
      <c r="L10" s="47">
        <v>44327.375</v>
      </c>
      <c r="M10" s="46">
        <v>148</v>
      </c>
      <c r="S10" s="13" t="s">
        <v>104</v>
      </c>
      <c r="T10" s="13" t="str">
        <f>_xlfn.DISPIMG("ID_C2B55CD9CA50489184D513F65D99F452",1)</f>
        <v>=DISPIMG("ID_C2B55CD9CA50489184D513F65D99F452",1)</v>
      </c>
      <c r="U10" s="13" t="s">
        <v>105</v>
      </c>
      <c r="V10" s="48" t="s">
        <v>1309</v>
      </c>
      <c r="W10" s="49" t="s">
        <v>106</v>
      </c>
    </row>
    <row r="11" customHeight="1" spans="1:23">
      <c r="A11" s="49" t="s">
        <v>1434</v>
      </c>
      <c r="B11" s="45">
        <v>4927457.66</v>
      </c>
      <c r="D11" s="45">
        <v>0.2</v>
      </c>
      <c r="H11" s="45">
        <v>4818933</v>
      </c>
      <c r="I11" s="46">
        <f t="shared" si="0"/>
        <v>2.20244733670629</v>
      </c>
      <c r="J11" s="46"/>
      <c r="K11" s="46">
        <v>7.3</v>
      </c>
      <c r="L11" s="47">
        <v>44314.375</v>
      </c>
      <c r="M11" s="46">
        <v>80</v>
      </c>
      <c r="S11" s="13" t="s">
        <v>74</v>
      </c>
      <c r="T11" s="13" t="str">
        <f>_xlfn.DISPIMG("ID_5C1B5B8EA2164BF49185CA64500D4BE4",1)</f>
        <v>=DISPIMG("ID_5C1B5B8EA2164BF49185CA64500D4BE4",1)</v>
      </c>
      <c r="U11" s="13" t="s">
        <v>39</v>
      </c>
      <c r="V11" s="48" t="s">
        <v>1424</v>
      </c>
      <c r="W11" s="49" t="s">
        <v>75</v>
      </c>
    </row>
    <row r="12" customHeight="1" spans="1:23">
      <c r="A12" s="52" t="s">
        <v>57</v>
      </c>
      <c r="B12" s="45">
        <v>1175610.07</v>
      </c>
      <c r="D12" s="45">
        <v>100.4</v>
      </c>
      <c r="E12" s="46">
        <v>12</v>
      </c>
      <c r="H12" s="45">
        <v>1100841.21</v>
      </c>
      <c r="I12" s="59">
        <f t="shared" si="0"/>
        <v>6.36000506528497</v>
      </c>
      <c r="J12" s="46"/>
      <c r="K12" s="46">
        <v>7.58</v>
      </c>
      <c r="L12" s="47">
        <v>44307.375</v>
      </c>
      <c r="M12" s="46">
        <v>160</v>
      </c>
      <c r="S12" s="13" t="s">
        <v>58</v>
      </c>
      <c r="T12" s="13" t="str">
        <f t="shared" ref="T12:T18" si="1">_xlfn.DISPIMG("ID_A7C8554973CD403FAE9FF1334A4E7093",1)</f>
        <v>=DISPIMG("ID_A7C8554973CD403FAE9FF1334A4E7093",1)</v>
      </c>
      <c r="U12" s="13" t="s">
        <v>26</v>
      </c>
      <c r="V12" s="60" t="s">
        <v>59</v>
      </c>
      <c r="W12" s="49" t="s">
        <v>60</v>
      </c>
    </row>
    <row r="13" customHeight="1" spans="1:23">
      <c r="A13" s="52" t="s">
        <v>67</v>
      </c>
      <c r="B13" s="45">
        <v>1456496.77</v>
      </c>
      <c r="D13" s="45">
        <v>101.2</v>
      </c>
      <c r="E13" s="46">
        <v>11</v>
      </c>
      <c r="H13" s="45">
        <v>1216627.03</v>
      </c>
      <c r="I13" s="59">
        <f t="shared" si="0"/>
        <v>16.4689510433998</v>
      </c>
      <c r="J13" s="46"/>
      <c r="K13" s="46">
        <v>6.8</v>
      </c>
      <c r="L13" s="47">
        <v>44307.375</v>
      </c>
      <c r="M13" s="46">
        <v>159</v>
      </c>
      <c r="S13" s="13" t="s">
        <v>68</v>
      </c>
      <c r="T13" s="13" t="str">
        <f t="shared" si="1"/>
        <v>=DISPIMG("ID_A7C8554973CD403FAE9FF1334A4E7093",1)</v>
      </c>
      <c r="U13" s="13" t="s">
        <v>26</v>
      </c>
      <c r="V13" s="60" t="s">
        <v>59</v>
      </c>
      <c r="W13" s="49" t="s">
        <v>69</v>
      </c>
    </row>
    <row r="14" customHeight="1" spans="1:23">
      <c r="A14" s="52" t="s">
        <v>1435</v>
      </c>
      <c r="B14" s="45">
        <v>22074384.99</v>
      </c>
      <c r="D14" s="45">
        <v>100.8</v>
      </c>
      <c r="E14" s="46">
        <v>18</v>
      </c>
      <c r="H14" s="45">
        <v>19586601.08</v>
      </c>
      <c r="I14" s="59">
        <f t="shared" si="0"/>
        <v>11.2700032690696</v>
      </c>
      <c r="J14" s="46"/>
      <c r="K14" s="46">
        <v>6.5</v>
      </c>
      <c r="L14" s="47">
        <v>44316.375</v>
      </c>
      <c r="S14" s="13" t="s">
        <v>77</v>
      </c>
      <c r="T14" s="13" t="str">
        <f t="shared" si="1"/>
        <v>=DISPIMG("ID_A7C8554973CD403FAE9FF1334A4E7093",1)</v>
      </c>
      <c r="U14" s="13" t="s">
        <v>26</v>
      </c>
      <c r="V14" s="60" t="s">
        <v>1436</v>
      </c>
      <c r="W14" s="49" t="s">
        <v>78</v>
      </c>
    </row>
    <row r="15" customHeight="1" spans="1:23">
      <c r="A15" s="52" t="s">
        <v>1437</v>
      </c>
      <c r="B15" s="45">
        <v>5453643.09</v>
      </c>
      <c r="D15" s="45">
        <v>99.6</v>
      </c>
      <c r="E15" s="46">
        <v>16</v>
      </c>
      <c r="H15" s="45">
        <v>4983490.75</v>
      </c>
      <c r="I15" s="59">
        <f t="shared" si="0"/>
        <v>8.62088574996937</v>
      </c>
      <c r="J15" s="46"/>
      <c r="K15" s="46">
        <v>7</v>
      </c>
      <c r="L15" s="47">
        <v>44324.375</v>
      </c>
      <c r="M15" s="46">
        <v>15</v>
      </c>
      <c r="S15" s="13" t="s">
        <v>100</v>
      </c>
      <c r="T15" s="13" t="str">
        <f t="shared" si="1"/>
        <v>=DISPIMG("ID_A7C8554973CD403FAE9FF1334A4E7093",1)</v>
      </c>
      <c r="U15" s="13" t="s">
        <v>26</v>
      </c>
      <c r="V15" s="60" t="s">
        <v>101</v>
      </c>
      <c r="W15" s="49" t="s">
        <v>102</v>
      </c>
    </row>
    <row r="16" customHeight="1" spans="1:23">
      <c r="A16" s="52" t="s">
        <v>1438</v>
      </c>
      <c r="B16" s="45">
        <v>4981247.48</v>
      </c>
      <c r="D16" s="45">
        <v>100.4</v>
      </c>
      <c r="E16" s="46">
        <v>20</v>
      </c>
      <c r="H16" s="45">
        <v>4479442.17</v>
      </c>
      <c r="I16" s="59">
        <f t="shared" si="0"/>
        <v>10.0738883585844</v>
      </c>
      <c r="J16" s="46"/>
      <c r="K16" s="46">
        <v>8.8</v>
      </c>
      <c r="L16" s="47">
        <v>44327.375</v>
      </c>
      <c r="M16" s="46">
        <v>9</v>
      </c>
      <c r="S16" s="13" t="s">
        <v>108</v>
      </c>
      <c r="T16" s="13" t="str">
        <f t="shared" si="1"/>
        <v>=DISPIMG("ID_A7C8554973CD403FAE9FF1334A4E7093",1)</v>
      </c>
      <c r="U16" s="13" t="s">
        <v>26</v>
      </c>
      <c r="V16" s="60" t="s">
        <v>109</v>
      </c>
      <c r="W16" s="49" t="s">
        <v>110</v>
      </c>
    </row>
    <row r="17" s="13" customFormat="1" customHeight="1" spans="1:23">
      <c r="A17" s="52" t="s">
        <v>1439</v>
      </c>
      <c r="B17" s="45">
        <v>42605452.66</v>
      </c>
      <c r="C17" s="45"/>
      <c r="D17" s="45">
        <v>98.8</v>
      </c>
      <c r="E17" s="46">
        <v>14</v>
      </c>
      <c r="F17" s="46"/>
      <c r="G17" s="46"/>
      <c r="H17" s="45">
        <v>37655977.22</v>
      </c>
      <c r="I17" s="59">
        <f t="shared" si="0"/>
        <v>11.6170000105334</v>
      </c>
      <c r="J17" s="46"/>
      <c r="K17" s="46">
        <v>8.3</v>
      </c>
      <c r="L17" s="47">
        <v>44336.375</v>
      </c>
      <c r="M17" s="46">
        <v>84</v>
      </c>
      <c r="S17" s="13" t="s">
        <v>112</v>
      </c>
      <c r="T17" s="13" t="str">
        <f t="shared" si="1"/>
        <v>=DISPIMG("ID_A7C8554973CD403FAE9FF1334A4E7093",1)</v>
      </c>
      <c r="U17" s="13" t="s">
        <v>26</v>
      </c>
      <c r="V17" s="60" t="s">
        <v>109</v>
      </c>
      <c r="W17" s="49" t="s">
        <v>113</v>
      </c>
    </row>
    <row r="18" customHeight="1" spans="1:23">
      <c r="A18" s="54" t="s">
        <v>1440</v>
      </c>
      <c r="B18" s="45">
        <v>6695462.03</v>
      </c>
      <c r="D18" s="45">
        <v>98.8</v>
      </c>
      <c r="E18" s="46">
        <v>11</v>
      </c>
      <c r="H18" s="45">
        <v>5824877.88</v>
      </c>
      <c r="I18" s="59">
        <f t="shared" si="0"/>
        <v>13.0026000610446</v>
      </c>
      <c r="J18" s="46"/>
      <c r="K18" s="46">
        <v>6.5</v>
      </c>
      <c r="L18" s="47">
        <v>44336.3958333333</v>
      </c>
      <c r="M18" s="46">
        <v>727</v>
      </c>
      <c r="S18" s="61" t="s">
        <v>115</v>
      </c>
      <c r="T18" s="13" t="str">
        <f t="shared" si="1"/>
        <v>=DISPIMG("ID_A7C8554973CD403FAE9FF1334A4E7093",1)</v>
      </c>
      <c r="U18" s="13" t="s">
        <v>26</v>
      </c>
      <c r="V18" s="60" t="s">
        <v>29</v>
      </c>
      <c r="W18" s="49" t="s">
        <v>116</v>
      </c>
    </row>
    <row r="19" customHeight="1" spans="1:23">
      <c r="A19" s="49" t="s">
        <v>1441</v>
      </c>
      <c r="B19" s="45">
        <v>11261818.21</v>
      </c>
      <c r="D19" s="45">
        <v>0.2</v>
      </c>
      <c r="H19" s="45">
        <v>10696806.27</v>
      </c>
      <c r="I19" s="46">
        <f t="shared" si="0"/>
        <v>5.01705789832671</v>
      </c>
      <c r="J19" s="46"/>
      <c r="K19" s="46">
        <v>9.3</v>
      </c>
      <c r="L19" s="47">
        <v>44344.375</v>
      </c>
      <c r="M19" s="46">
        <v>3</v>
      </c>
      <c r="S19" s="13" t="s">
        <v>126</v>
      </c>
      <c r="T19" s="13" t="str">
        <f>_xlfn.DISPIMG("ID_209F34734E11484B9753758A911AC8EA",1)</f>
        <v>=DISPIMG("ID_209F34734E11484B9753758A911AC8EA",1)</v>
      </c>
      <c r="U19" s="13" t="s">
        <v>127</v>
      </c>
      <c r="V19" s="48" t="s">
        <v>101</v>
      </c>
      <c r="W19" s="49" t="s">
        <v>128</v>
      </c>
    </row>
    <row r="20" customHeight="1" spans="1:23">
      <c r="A20" s="52" t="s">
        <v>1442</v>
      </c>
      <c r="B20" s="45">
        <v>4892322.24</v>
      </c>
      <c r="D20" s="45">
        <v>99.6</v>
      </c>
      <c r="E20" s="46">
        <v>19</v>
      </c>
      <c r="H20" s="45">
        <v>4547413.66</v>
      </c>
      <c r="I20" s="59">
        <f t="shared" si="0"/>
        <v>7.04999718088889</v>
      </c>
      <c r="J20" s="46"/>
      <c r="K20" s="46">
        <v>11.2</v>
      </c>
      <c r="L20" s="47">
        <v>44344.375</v>
      </c>
      <c r="M20" s="46">
        <v>309</v>
      </c>
      <c r="S20" s="13" t="s">
        <v>123</v>
      </c>
      <c r="T20" s="13" t="str">
        <f>_xlfn.DISPIMG("ID_A7C8554973CD403FAE9FF1334A4E7093",1)</f>
        <v>=DISPIMG("ID_A7C8554973CD403FAE9FF1334A4E7093",1)</v>
      </c>
      <c r="U20" s="13" t="s">
        <v>26</v>
      </c>
      <c r="V20" s="60" t="s">
        <v>59</v>
      </c>
      <c r="W20" s="49" t="s">
        <v>124</v>
      </c>
    </row>
    <row r="21" customHeight="1" spans="1:23">
      <c r="A21" s="52" t="s">
        <v>1443</v>
      </c>
      <c r="B21" s="45">
        <v>13614782</v>
      </c>
      <c r="H21" s="45">
        <v>12235544.33</v>
      </c>
      <c r="I21" s="46">
        <f t="shared" si="0"/>
        <v>10.1304425586836</v>
      </c>
      <c r="J21" s="46"/>
      <c r="K21" s="46">
        <v>7.6</v>
      </c>
      <c r="L21" s="47">
        <v>44343.3958333333</v>
      </c>
      <c r="S21" s="13" t="s">
        <v>118</v>
      </c>
      <c r="T21" s="13" t="str">
        <f>_xlfn.DISPIMG("ID_B45AC5B0931F41358AA01BD5585B5788",1)</f>
        <v>=DISPIMG("ID_B45AC5B0931F41358AA01BD5585B5788",1)</v>
      </c>
      <c r="U21" s="13" t="s">
        <v>119</v>
      </c>
      <c r="V21" s="60" t="s">
        <v>120</v>
      </c>
      <c r="W21" s="49" t="s">
        <v>121</v>
      </c>
    </row>
    <row r="22" customHeight="1" spans="1:23">
      <c r="A22" s="49" t="s">
        <v>1444</v>
      </c>
      <c r="B22" s="45">
        <v>99324363.51</v>
      </c>
      <c r="D22" s="45">
        <v>98.4</v>
      </c>
      <c r="E22" s="46">
        <v>15</v>
      </c>
      <c r="H22" s="45">
        <v>87141239.59</v>
      </c>
      <c r="I22" s="59">
        <f t="shared" si="0"/>
        <v>12.2659974748022</v>
      </c>
      <c r="J22" s="46"/>
      <c r="K22" s="46">
        <v>10.5</v>
      </c>
      <c r="L22" s="47">
        <v>44348.4583333333</v>
      </c>
      <c r="M22" s="46">
        <v>377</v>
      </c>
      <c r="S22" s="13" t="s">
        <v>130</v>
      </c>
      <c r="T22" s="13" t="str">
        <f>_xlfn.DISPIMG("ID_A7C8554973CD403FAE9FF1334A4E7093",1)</f>
        <v>=DISPIMG("ID_A7C8554973CD403FAE9FF1334A4E7093",1)</v>
      </c>
      <c r="U22" s="13" t="s">
        <v>26</v>
      </c>
      <c r="V22" s="60" t="s">
        <v>29</v>
      </c>
      <c r="W22" s="49" t="s">
        <v>131</v>
      </c>
    </row>
    <row r="23" customHeight="1" spans="1:23">
      <c r="A23" s="49" t="s">
        <v>1445</v>
      </c>
      <c r="B23" s="45">
        <v>21957722.43</v>
      </c>
      <c r="D23" s="45">
        <v>101.2</v>
      </c>
      <c r="E23" s="46">
        <v>15</v>
      </c>
      <c r="H23" s="45">
        <v>20400717.38</v>
      </c>
      <c r="I23" s="59">
        <f t="shared" si="0"/>
        <v>7.09092236211495</v>
      </c>
      <c r="J23" s="46"/>
      <c r="K23" s="46">
        <v>5.2</v>
      </c>
      <c r="L23" s="47">
        <v>44357.3958333333</v>
      </c>
      <c r="M23" s="46">
        <v>50</v>
      </c>
      <c r="S23" s="13" t="s">
        <v>137</v>
      </c>
      <c r="T23" s="13" t="str">
        <f>_xlfn.DISPIMG("ID_A7C8554973CD403FAE9FF1334A4E7093",1)</f>
        <v>=DISPIMG("ID_A7C8554973CD403FAE9FF1334A4E7093",1)</v>
      </c>
      <c r="U23" s="13" t="s">
        <v>26</v>
      </c>
      <c r="V23" s="48" t="s">
        <v>134</v>
      </c>
      <c r="W23" s="49" t="s">
        <v>138</v>
      </c>
    </row>
    <row r="24" customHeight="1" spans="1:23">
      <c r="A24" s="52" t="s">
        <v>1446</v>
      </c>
      <c r="B24" s="45">
        <v>710000</v>
      </c>
      <c r="D24" s="45">
        <v>0.3</v>
      </c>
      <c r="H24" s="45">
        <v>665000</v>
      </c>
      <c r="I24" s="46">
        <f t="shared" si="0"/>
        <v>6.33802816901408</v>
      </c>
      <c r="J24" s="46"/>
      <c r="K24" s="46">
        <v>5.6</v>
      </c>
      <c r="L24" s="47">
        <v>44363.4583333333</v>
      </c>
      <c r="M24" s="46">
        <v>26</v>
      </c>
      <c r="S24" s="13" t="s">
        <v>153</v>
      </c>
      <c r="T24" s="13" t="str">
        <f>_xlfn.DISPIMG("ID_2DACADFC2A374D9D98B3AA95E02AEE14",1)</f>
        <v>=DISPIMG("ID_2DACADFC2A374D9D98B3AA95E02AEE14",1)</v>
      </c>
      <c r="U24" s="13" t="s">
        <v>154</v>
      </c>
      <c r="V24" s="60" t="s">
        <v>155</v>
      </c>
      <c r="W24" s="49" t="s">
        <v>156</v>
      </c>
    </row>
    <row r="25" customHeight="1" spans="1:23">
      <c r="A25" s="49" t="s">
        <v>1447</v>
      </c>
      <c r="B25" s="45">
        <v>22790848.39</v>
      </c>
      <c r="D25" s="45">
        <v>102</v>
      </c>
      <c r="E25" s="46">
        <v>19</v>
      </c>
      <c r="H25" s="45">
        <v>21270242.83</v>
      </c>
      <c r="I25" s="59">
        <f t="shared" si="0"/>
        <v>6.67200068193689</v>
      </c>
      <c r="J25" s="46"/>
      <c r="K25" s="46">
        <v>6.6</v>
      </c>
      <c r="L25" s="47">
        <v>44357.3958333333</v>
      </c>
      <c r="M25" s="46">
        <v>55</v>
      </c>
      <c r="S25" s="13" t="s">
        <v>133</v>
      </c>
      <c r="T25" s="13" t="str">
        <f>_xlfn.DISPIMG("ID_A7C8554973CD403FAE9FF1334A4E7093",1)</f>
        <v>=DISPIMG("ID_A7C8554973CD403FAE9FF1334A4E7093",1)</v>
      </c>
      <c r="U25" s="13" t="s">
        <v>26</v>
      </c>
      <c r="V25" s="48" t="s">
        <v>134</v>
      </c>
      <c r="W25" s="49" t="s">
        <v>135</v>
      </c>
    </row>
    <row r="26" customHeight="1" spans="1:22">
      <c r="A26" s="52" t="s">
        <v>139</v>
      </c>
      <c r="B26" s="45">
        <v>5718075.63</v>
      </c>
      <c r="D26" s="45">
        <v>99.6</v>
      </c>
      <c r="E26" s="46">
        <v>18</v>
      </c>
      <c r="H26" s="45">
        <v>5040624.9</v>
      </c>
      <c r="I26" s="59">
        <f t="shared" si="0"/>
        <v>11.8475300754285</v>
      </c>
      <c r="J26" s="46"/>
      <c r="K26" s="46">
        <v>9.7</v>
      </c>
      <c r="L26" s="47">
        <v>44357.4166666667</v>
      </c>
      <c r="S26" s="13" t="s">
        <v>140</v>
      </c>
      <c r="T26" s="13" t="str">
        <f>_xlfn.DISPIMG("ID_A7C8554973CD403FAE9FF1334A4E7093",1)</f>
        <v>=DISPIMG("ID_A7C8554973CD403FAE9FF1334A4E7093",1)</v>
      </c>
      <c r="U26" s="13" t="s">
        <v>26</v>
      </c>
      <c r="V26" s="60" t="s">
        <v>29</v>
      </c>
    </row>
    <row r="27" customHeight="1" spans="1:23">
      <c r="A27" s="52" t="s">
        <v>1448</v>
      </c>
      <c r="B27" s="45">
        <v>2100016.62</v>
      </c>
      <c r="D27" s="45">
        <v>102</v>
      </c>
      <c r="E27" s="46">
        <v>20</v>
      </c>
      <c r="H27" s="45">
        <v>1998984.82</v>
      </c>
      <c r="I27" s="59">
        <f t="shared" si="0"/>
        <v>4.81100001960938</v>
      </c>
      <c r="J27" s="46"/>
      <c r="K27" s="46">
        <v>7.8</v>
      </c>
      <c r="L27" s="47">
        <v>44358.375</v>
      </c>
      <c r="M27" s="46">
        <v>178</v>
      </c>
      <c r="S27" s="13" t="s">
        <v>142</v>
      </c>
      <c r="T27" s="13" t="str">
        <f>_xlfn.DISPIMG("ID_A7C8554973CD403FAE9FF1334A4E7093",1)</f>
        <v>=DISPIMG("ID_A7C8554973CD403FAE9FF1334A4E7093",1)</v>
      </c>
      <c r="U27" s="13" t="s">
        <v>26</v>
      </c>
      <c r="V27" s="60" t="s">
        <v>59</v>
      </c>
      <c r="W27" s="49" t="s">
        <v>143</v>
      </c>
    </row>
    <row r="28" customHeight="1" spans="1:23">
      <c r="A28" s="52" t="s">
        <v>1449</v>
      </c>
      <c r="B28" s="45">
        <v>6788169.01</v>
      </c>
      <c r="D28" s="45">
        <v>98</v>
      </c>
      <c r="E28" s="46">
        <v>13</v>
      </c>
      <c r="H28" s="45">
        <v>5900083</v>
      </c>
      <c r="I28" s="59">
        <f t="shared" si="0"/>
        <v>13.0828505992075</v>
      </c>
      <c r="J28" s="46"/>
      <c r="K28" s="46">
        <v>6.88</v>
      </c>
      <c r="L28" s="47">
        <v>44363.375</v>
      </c>
      <c r="M28" s="46">
        <v>610</v>
      </c>
      <c r="S28" s="13" t="s">
        <v>150</v>
      </c>
      <c r="T28" s="13" t="str">
        <f>_xlfn.DISPIMG("ID_A7C8554973CD403FAE9FF1334A4E7093",1)</f>
        <v>=DISPIMG("ID_A7C8554973CD403FAE9FF1334A4E7093",1)</v>
      </c>
      <c r="U28" s="13" t="s">
        <v>26</v>
      </c>
      <c r="V28" s="60" t="s">
        <v>29</v>
      </c>
      <c r="W28" s="49" t="s">
        <v>151</v>
      </c>
    </row>
    <row r="29" customHeight="1" spans="1:23">
      <c r="A29" s="52" t="s">
        <v>1450</v>
      </c>
      <c r="B29" s="45">
        <v>4035914.31</v>
      </c>
      <c r="D29" s="45">
        <v>0.4</v>
      </c>
      <c r="H29" s="45">
        <v>3909991.76</v>
      </c>
      <c r="I29" s="46">
        <f t="shared" si="0"/>
        <v>3.1200501380318</v>
      </c>
      <c r="J29" s="46"/>
      <c r="K29" s="46">
        <v>4.6</v>
      </c>
      <c r="L29" s="47">
        <v>44358.375</v>
      </c>
      <c r="M29" s="46">
        <v>45</v>
      </c>
      <c r="S29" s="13" t="s">
        <v>145</v>
      </c>
      <c r="T29" s="13" t="str">
        <f>_xlfn.DISPIMG("ID_9527614B758949DE89AEA4F25528D872",1)</f>
        <v>=DISPIMG("ID_9527614B758949DE89AEA4F25528D872",1)</v>
      </c>
      <c r="U29" s="13" t="s">
        <v>146</v>
      </c>
      <c r="V29" s="48" t="s">
        <v>147</v>
      </c>
      <c r="W29" s="49" t="s">
        <v>148</v>
      </c>
    </row>
    <row r="30" customHeight="1" spans="1:22">
      <c r="A30" s="52" t="s">
        <v>1451</v>
      </c>
      <c r="B30" s="45">
        <v>6337016.61</v>
      </c>
      <c r="D30" s="45">
        <v>98.5</v>
      </c>
      <c r="H30" s="45">
        <v>5976440.36</v>
      </c>
      <c r="I30" s="46">
        <f t="shared" si="0"/>
        <v>5.69000007718144</v>
      </c>
      <c r="J30" s="46"/>
      <c r="K30" s="46">
        <v>6.6</v>
      </c>
      <c r="L30" s="47">
        <v>44364.4583333333</v>
      </c>
      <c r="M30" s="46">
        <v>36</v>
      </c>
      <c r="S30" s="13" t="s">
        <v>161</v>
      </c>
      <c r="T30" s="13" t="str">
        <f>_xlfn.DISPIMG("ID_A5C5C48DA77F4825959FA26444F402F2",1)</f>
        <v>=DISPIMG("ID_A5C5C48DA77F4825959FA26444F402F2",1)</v>
      </c>
      <c r="U30" s="13" t="s">
        <v>162</v>
      </c>
      <c r="V30" s="48" t="s">
        <v>163</v>
      </c>
    </row>
    <row r="31" customHeight="1" spans="1:23">
      <c r="A31" s="55" t="s">
        <v>1452</v>
      </c>
      <c r="B31" s="45">
        <v>5661938.92</v>
      </c>
      <c r="D31" s="45">
        <v>101.6</v>
      </c>
      <c r="E31" s="46">
        <v>13</v>
      </c>
      <c r="H31" s="45">
        <v>5101746.68</v>
      </c>
      <c r="I31" s="59">
        <f t="shared" si="0"/>
        <v>9.89400005749268</v>
      </c>
      <c r="J31" s="46"/>
      <c r="K31" s="46">
        <v>12</v>
      </c>
      <c r="L31" s="47">
        <v>44364.375</v>
      </c>
      <c r="M31" s="46">
        <v>614</v>
      </c>
      <c r="S31" s="13" t="s">
        <v>158</v>
      </c>
      <c r="T31" s="13" t="str">
        <f>_xlfn.DISPIMG("ID_A7C8554973CD403FAE9FF1334A4E7093",1)</f>
        <v>=DISPIMG("ID_A7C8554973CD403FAE9FF1334A4E7093",1)</v>
      </c>
      <c r="U31" s="13" t="s">
        <v>26</v>
      </c>
      <c r="V31" s="62" t="s">
        <v>29</v>
      </c>
      <c r="W31" s="49" t="s">
        <v>159</v>
      </c>
    </row>
    <row r="32" customHeight="1" spans="1:22">
      <c r="A32" s="52" t="s">
        <v>1453</v>
      </c>
      <c r="B32" s="45">
        <v>5681887.68</v>
      </c>
      <c r="D32" s="45">
        <v>99.2</v>
      </c>
      <c r="E32" s="46">
        <v>13</v>
      </c>
      <c r="H32" s="45">
        <v>5248586.93</v>
      </c>
      <c r="I32" s="59">
        <f t="shared" si="0"/>
        <v>7.62599992120929</v>
      </c>
      <c r="J32" s="46"/>
      <c r="K32" s="46">
        <v>6.8</v>
      </c>
      <c r="L32" s="47">
        <v>44365.375</v>
      </c>
      <c r="M32" s="46">
        <v>146</v>
      </c>
      <c r="S32" s="13" t="s">
        <v>165</v>
      </c>
      <c r="T32" s="13" t="str">
        <f>_xlfn.DISPIMG("ID_A7C8554973CD403FAE9FF1334A4E7093",1)</f>
        <v>=DISPIMG("ID_A7C8554973CD403FAE9FF1334A4E7093",1)</v>
      </c>
      <c r="U32" s="13" t="s">
        <v>26</v>
      </c>
      <c r="V32" s="60" t="s">
        <v>166</v>
      </c>
    </row>
    <row r="33" customHeight="1" spans="1:23">
      <c r="A33" s="55" t="s">
        <v>1454</v>
      </c>
      <c r="B33" s="45">
        <v>3679152.59</v>
      </c>
      <c r="D33" s="45">
        <v>99</v>
      </c>
      <c r="H33" s="45">
        <v>3480846.27</v>
      </c>
      <c r="I33" s="46">
        <f t="shared" si="0"/>
        <v>5.38999987494402</v>
      </c>
      <c r="J33" s="46"/>
      <c r="K33" s="46">
        <v>5.8</v>
      </c>
      <c r="L33" s="47">
        <v>44369.4583333333</v>
      </c>
      <c r="M33" s="46">
        <v>61</v>
      </c>
      <c r="S33" s="13" t="s">
        <v>176</v>
      </c>
      <c r="T33" s="13" t="str">
        <f>_xlfn.DISPIMG("ID_A5C5C48DA77F4825959FA26444F402F2",1)</f>
        <v>=DISPIMG("ID_A5C5C48DA77F4825959FA26444F402F2",1)</v>
      </c>
      <c r="U33" s="13" t="s">
        <v>162</v>
      </c>
      <c r="V33" s="48" t="s">
        <v>177</v>
      </c>
      <c r="W33" s="49" t="s">
        <v>178</v>
      </c>
    </row>
    <row r="34" customHeight="1" spans="1:23">
      <c r="A34" s="52" t="s">
        <v>1455</v>
      </c>
      <c r="B34" s="45">
        <v>15641040.39</v>
      </c>
      <c r="D34" s="45">
        <v>102</v>
      </c>
      <c r="E34" s="46">
        <v>17</v>
      </c>
      <c r="H34" s="45">
        <v>14860066.8</v>
      </c>
      <c r="I34" s="59">
        <f t="shared" si="0"/>
        <v>4.99310512937049</v>
      </c>
      <c r="J34" s="46"/>
      <c r="K34" s="46">
        <v>7.3</v>
      </c>
      <c r="L34" s="47">
        <v>44365.4583333333</v>
      </c>
      <c r="M34" s="46">
        <v>839</v>
      </c>
      <c r="S34" s="13" t="s">
        <v>168</v>
      </c>
      <c r="T34" s="13" t="str">
        <f t="shared" ref="T34:T39" si="2">_xlfn.DISPIMG("ID_A7C8554973CD403FAE9FF1334A4E7093",1)</f>
        <v>=DISPIMG("ID_A7C8554973CD403FAE9FF1334A4E7093",1)</v>
      </c>
      <c r="U34" s="13" t="s">
        <v>26</v>
      </c>
      <c r="V34" s="60" t="s">
        <v>59</v>
      </c>
      <c r="W34" s="49" t="s">
        <v>169</v>
      </c>
    </row>
    <row r="35" customHeight="1" spans="1:23">
      <c r="A35" s="52" t="s">
        <v>1456</v>
      </c>
      <c r="B35" s="45">
        <v>6608887.51</v>
      </c>
      <c r="D35" s="45">
        <v>99.6</v>
      </c>
      <c r="E35" s="46">
        <v>20</v>
      </c>
      <c r="H35" s="45">
        <v>5841529.58</v>
      </c>
      <c r="I35" s="59">
        <f t="shared" si="0"/>
        <v>11.6110000183677</v>
      </c>
      <c r="J35" s="46"/>
      <c r="K35" s="46">
        <v>10.8</v>
      </c>
      <c r="L35" s="47">
        <v>44369.375</v>
      </c>
      <c r="M35" s="46">
        <v>623</v>
      </c>
      <c r="S35" s="13" t="s">
        <v>171</v>
      </c>
      <c r="T35" s="13" t="str">
        <f t="shared" si="2"/>
        <v>=DISPIMG("ID_A7C8554973CD403FAE9FF1334A4E7093",1)</v>
      </c>
      <c r="U35" s="13" t="s">
        <v>26</v>
      </c>
      <c r="V35" s="60" t="s">
        <v>29</v>
      </c>
      <c r="W35" s="49" t="s">
        <v>159</v>
      </c>
    </row>
    <row r="36" s="13" customFormat="1" customHeight="1" spans="1:23">
      <c r="A36" s="52" t="s">
        <v>1457</v>
      </c>
      <c r="B36" s="45">
        <v>7016815.07</v>
      </c>
      <c r="C36" s="45"/>
      <c r="D36" s="45">
        <v>102</v>
      </c>
      <c r="E36" s="46">
        <v>11</v>
      </c>
      <c r="F36" s="46"/>
      <c r="G36" s="46"/>
      <c r="H36" s="45">
        <v>6322613.49</v>
      </c>
      <c r="I36" s="59">
        <f t="shared" si="0"/>
        <v>9.89339996956768</v>
      </c>
      <c r="J36" s="46"/>
      <c r="K36" s="46">
        <v>11.8</v>
      </c>
      <c r="L36" s="47">
        <v>44370.375</v>
      </c>
      <c r="M36" s="46">
        <v>621</v>
      </c>
      <c r="S36" s="13" t="s">
        <v>180</v>
      </c>
      <c r="T36" s="13" t="str">
        <f t="shared" si="2"/>
        <v>=DISPIMG("ID_A7C8554973CD403FAE9FF1334A4E7093",1)</v>
      </c>
      <c r="U36" s="13" t="s">
        <v>26</v>
      </c>
      <c r="V36" s="60" t="s">
        <v>29</v>
      </c>
      <c r="W36" s="49" t="s">
        <v>181</v>
      </c>
    </row>
    <row r="37" customHeight="1" spans="1:23">
      <c r="A37" s="52" t="s">
        <v>1458</v>
      </c>
      <c r="B37" s="45">
        <v>5995234.59</v>
      </c>
      <c r="D37" s="45">
        <v>99.2</v>
      </c>
      <c r="E37" s="46">
        <v>16</v>
      </c>
      <c r="H37" s="45">
        <v>5255961.72</v>
      </c>
      <c r="I37" s="59">
        <f t="shared" si="0"/>
        <v>12.3310082183123</v>
      </c>
      <c r="J37" s="46"/>
      <c r="K37" s="46">
        <v>10.3</v>
      </c>
      <c r="L37" s="47">
        <v>44370.4166666667</v>
      </c>
      <c r="M37" s="46">
        <v>587</v>
      </c>
      <c r="S37" s="13" t="s">
        <v>183</v>
      </c>
      <c r="T37" s="13" t="str">
        <f t="shared" si="2"/>
        <v>=DISPIMG("ID_A7C8554973CD403FAE9FF1334A4E7093",1)</v>
      </c>
      <c r="U37" s="13" t="s">
        <v>26</v>
      </c>
      <c r="V37" s="60" t="s">
        <v>29</v>
      </c>
      <c r="W37" s="49" t="s">
        <v>181</v>
      </c>
    </row>
    <row r="38" s="13" customFormat="1" customHeight="1" spans="1:23">
      <c r="A38" s="52" t="s">
        <v>1459</v>
      </c>
      <c r="B38" s="45">
        <v>7858726.83</v>
      </c>
      <c r="C38" s="45"/>
      <c r="D38" s="45">
        <v>99.6</v>
      </c>
      <c r="E38" s="46">
        <v>13</v>
      </c>
      <c r="F38" s="46"/>
      <c r="G38" s="46"/>
      <c r="H38" s="45">
        <v>7318832.3</v>
      </c>
      <c r="I38" s="59">
        <f t="shared" si="0"/>
        <v>6.86999995901371</v>
      </c>
      <c r="J38" s="46"/>
      <c r="K38" s="46">
        <v>6.8</v>
      </c>
      <c r="L38" s="47">
        <v>44371.375</v>
      </c>
      <c r="M38" s="46">
        <v>201</v>
      </c>
      <c r="S38" s="13" t="s">
        <v>185</v>
      </c>
      <c r="T38" s="13" t="str">
        <f t="shared" si="2"/>
        <v>=DISPIMG("ID_A7C8554973CD403FAE9FF1334A4E7093",1)</v>
      </c>
      <c r="U38" s="13" t="s">
        <v>26</v>
      </c>
      <c r="V38" s="60" t="s">
        <v>59</v>
      </c>
      <c r="W38" s="49" t="s">
        <v>186</v>
      </c>
    </row>
    <row r="39" customHeight="1" spans="1:23">
      <c r="A39" s="52" t="s">
        <v>1460</v>
      </c>
      <c r="B39" s="45">
        <v>6041792.27</v>
      </c>
      <c r="H39" s="45">
        <v>5742240.21</v>
      </c>
      <c r="I39" s="59">
        <f t="shared" si="0"/>
        <v>4.95799998764274</v>
      </c>
      <c r="J39" s="46"/>
      <c r="K39" s="46">
        <v>5.6</v>
      </c>
      <c r="L39" s="47">
        <v>44379.3958333333</v>
      </c>
      <c r="M39" s="46">
        <v>4</v>
      </c>
      <c r="S39" s="13" t="s">
        <v>192</v>
      </c>
      <c r="T39" s="13" t="str">
        <f t="shared" si="2"/>
        <v>=DISPIMG("ID_A7C8554973CD403FAE9FF1334A4E7093",1)</v>
      </c>
      <c r="U39" s="13" t="s">
        <v>26</v>
      </c>
      <c r="V39" s="48" t="s">
        <v>1461</v>
      </c>
      <c r="W39" s="49" t="s">
        <v>194</v>
      </c>
    </row>
    <row r="40" customHeight="1" spans="1:23">
      <c r="A40" s="56" t="s">
        <v>1462</v>
      </c>
      <c r="B40" s="45">
        <v>5393667.05</v>
      </c>
      <c r="D40" s="45">
        <v>0.3</v>
      </c>
      <c r="H40" s="45">
        <v>5247200</v>
      </c>
      <c r="I40" s="46">
        <f t="shared" si="0"/>
        <v>2.71553747463889</v>
      </c>
      <c r="J40" s="46"/>
      <c r="K40" s="46">
        <v>9.3</v>
      </c>
      <c r="L40" s="47">
        <v>44377.3958333333</v>
      </c>
      <c r="M40" s="46">
        <v>68</v>
      </c>
      <c r="S40" s="13" t="s">
        <v>188</v>
      </c>
      <c r="T40" s="13" t="str">
        <f>_xlfn.DISPIMG("ID_5C1B5B8EA2164BF49185CA64500D4BE4",1)</f>
        <v>=DISPIMG("ID_5C1B5B8EA2164BF49185CA64500D4BE4",1)</v>
      </c>
      <c r="U40" s="13" t="s">
        <v>189</v>
      </c>
      <c r="V40" s="60" t="s">
        <v>40</v>
      </c>
      <c r="W40" s="49" t="s">
        <v>190</v>
      </c>
    </row>
    <row r="41" customHeight="1" spans="1:23">
      <c r="A41" s="52" t="s">
        <v>1463</v>
      </c>
      <c r="B41" s="45">
        <v>4763012.16</v>
      </c>
      <c r="D41" s="45">
        <v>101.6</v>
      </c>
      <c r="E41" s="46">
        <v>14</v>
      </c>
      <c r="H41" s="45">
        <v>4312431.21</v>
      </c>
      <c r="I41" s="59">
        <f t="shared" si="0"/>
        <v>9.45999999294564</v>
      </c>
      <c r="J41" s="46"/>
      <c r="K41" s="46">
        <v>9.8</v>
      </c>
      <c r="L41" s="47">
        <v>44383.3958333333</v>
      </c>
      <c r="M41" s="46">
        <v>29</v>
      </c>
      <c r="S41" s="13" t="s">
        <v>199</v>
      </c>
      <c r="T41" s="13" t="str">
        <f>_xlfn.DISPIMG("ID_A7C8554973CD403FAE9FF1334A4E7093",1)</f>
        <v>=DISPIMG("ID_A7C8554973CD403FAE9FF1334A4E7093",1)</v>
      </c>
      <c r="U41" s="13" t="s">
        <v>26</v>
      </c>
      <c r="V41" s="60" t="s">
        <v>29</v>
      </c>
      <c r="W41" s="49" t="s">
        <v>200</v>
      </c>
    </row>
    <row r="42" customHeight="1" spans="1:23">
      <c r="A42" s="49" t="s">
        <v>1464</v>
      </c>
      <c r="B42" s="45">
        <v>5944840.03</v>
      </c>
      <c r="D42" s="45">
        <v>0.1</v>
      </c>
      <c r="H42" s="45">
        <v>5786500</v>
      </c>
      <c r="I42" s="46">
        <f t="shared" si="0"/>
        <v>2.6634868087443</v>
      </c>
      <c r="J42" s="46"/>
      <c r="K42" s="46">
        <v>5.8</v>
      </c>
      <c r="L42" s="47">
        <v>44383.375</v>
      </c>
      <c r="M42" s="46">
        <v>33</v>
      </c>
      <c r="S42" s="13" t="s">
        <v>196</v>
      </c>
      <c r="T42" s="13" t="str">
        <f>_xlfn.DISPIMG("ID_5C1B5B8EA2164BF49185CA64500D4BE4",1)</f>
        <v>=DISPIMG("ID_5C1B5B8EA2164BF49185CA64500D4BE4",1)</v>
      </c>
      <c r="U42" s="13" t="s">
        <v>189</v>
      </c>
      <c r="V42" s="48" t="s">
        <v>40</v>
      </c>
      <c r="W42" s="49" t="s">
        <v>197</v>
      </c>
    </row>
    <row r="43" s="13" customFormat="1" customHeight="1" spans="1:23">
      <c r="A43" s="52" t="s">
        <v>1465</v>
      </c>
      <c r="B43" s="45">
        <v>6493210.29</v>
      </c>
      <c r="C43" s="45"/>
      <c r="D43" s="45">
        <v>98</v>
      </c>
      <c r="E43" s="46">
        <v>17</v>
      </c>
      <c r="F43" s="46"/>
      <c r="G43" s="46"/>
      <c r="H43" s="45">
        <v>5764801.96</v>
      </c>
      <c r="I43" s="59">
        <f t="shared" si="0"/>
        <v>11.2179999948839</v>
      </c>
      <c r="J43" s="46"/>
      <c r="K43" s="46">
        <v>5.3</v>
      </c>
      <c r="L43" s="47">
        <v>44384.3958333333</v>
      </c>
      <c r="M43" s="46">
        <v>81</v>
      </c>
      <c r="S43" s="13" t="s">
        <v>202</v>
      </c>
      <c r="T43" s="13" t="str">
        <f>_xlfn.DISPIMG("ID_A7C8554973CD403FAE9FF1334A4E7093",1)</f>
        <v>=DISPIMG("ID_A7C8554973CD403FAE9FF1334A4E7093",1)</v>
      </c>
      <c r="U43" s="13" t="s">
        <v>26</v>
      </c>
      <c r="V43" s="60" t="s">
        <v>1461</v>
      </c>
      <c r="W43" s="49" t="s">
        <v>203</v>
      </c>
    </row>
    <row r="44" customHeight="1" spans="1:23">
      <c r="A44" s="49" t="s">
        <v>1466</v>
      </c>
      <c r="B44" s="45">
        <v>8962792.67</v>
      </c>
      <c r="D44" s="45">
        <v>101.6</v>
      </c>
      <c r="E44" s="46">
        <v>13</v>
      </c>
      <c r="H44" s="45">
        <v>7933618.1</v>
      </c>
      <c r="I44" s="59">
        <f t="shared" si="0"/>
        <v>11.4827443620873</v>
      </c>
      <c r="J44" s="46"/>
      <c r="K44" s="46">
        <v>6.8</v>
      </c>
      <c r="L44" s="47">
        <v>44397.375</v>
      </c>
      <c r="M44" s="46">
        <v>615</v>
      </c>
      <c r="S44" s="13" t="s">
        <v>205</v>
      </c>
      <c r="T44" s="13" t="str">
        <f>_xlfn.DISPIMG("ID_A7C8554973CD403FAE9FF1334A4E7093",1)</f>
        <v>=DISPIMG("ID_A7C8554973CD403FAE9FF1334A4E7093",1)</v>
      </c>
      <c r="U44" s="13" t="s">
        <v>26</v>
      </c>
      <c r="V44" s="60" t="s">
        <v>29</v>
      </c>
      <c r="W44" s="49" t="s">
        <v>206</v>
      </c>
    </row>
    <row r="45" customHeight="1" spans="1:22">
      <c r="A45" s="52" t="s">
        <v>1467</v>
      </c>
      <c r="B45" s="45">
        <v>2561550.49</v>
      </c>
      <c r="D45" s="45">
        <v>99.5</v>
      </c>
      <c r="H45" s="45">
        <v>2339207.17</v>
      </c>
      <c r="I45" s="46">
        <f t="shared" si="0"/>
        <v>8.68002878990686</v>
      </c>
      <c r="J45" s="46"/>
      <c r="K45" s="46">
        <v>6.1</v>
      </c>
      <c r="L45" s="47">
        <v>44400.375</v>
      </c>
      <c r="M45" s="46">
        <v>24</v>
      </c>
      <c r="S45" s="13" t="s">
        <v>208</v>
      </c>
      <c r="T45" s="13" t="str">
        <f>_xlfn.DISPIMG("ID_A5C5C48DA77F4825959FA26444F402F2",1)</f>
        <v>=DISPIMG("ID_A5C5C48DA77F4825959FA26444F402F2",1)</v>
      </c>
      <c r="U45" s="13" t="s">
        <v>162</v>
      </c>
      <c r="V45" s="60" t="s">
        <v>120</v>
      </c>
    </row>
    <row r="46" customHeight="1" spans="1:23">
      <c r="A46" s="56" t="s">
        <v>1468</v>
      </c>
      <c r="B46" s="45">
        <v>10590108.19</v>
      </c>
      <c r="D46" s="45">
        <v>98.4</v>
      </c>
      <c r="E46" s="46">
        <v>16</v>
      </c>
      <c r="H46" s="45">
        <v>9377381.95</v>
      </c>
      <c r="I46" s="59">
        <f t="shared" si="0"/>
        <v>11.4515000058748</v>
      </c>
      <c r="J46" s="46"/>
      <c r="K46" s="46">
        <v>13.6</v>
      </c>
      <c r="L46" s="47">
        <v>44404.3958333333</v>
      </c>
      <c r="M46" s="46">
        <v>470</v>
      </c>
      <c r="S46" s="13" t="s">
        <v>210</v>
      </c>
      <c r="T46" s="13" t="str">
        <f>_xlfn.DISPIMG("ID_A7C8554973CD403FAE9FF1334A4E7093",1)</f>
        <v>=DISPIMG("ID_A7C8554973CD403FAE9FF1334A4E7093",1)</v>
      </c>
      <c r="U46" s="13" t="s">
        <v>26</v>
      </c>
      <c r="V46" s="60" t="s">
        <v>29</v>
      </c>
      <c r="W46" s="49" t="s">
        <v>211</v>
      </c>
    </row>
    <row r="47" customHeight="1" spans="1:23">
      <c r="A47" s="52" t="s">
        <v>1469</v>
      </c>
      <c r="B47" s="45">
        <v>8430984.85</v>
      </c>
      <c r="D47" s="45">
        <v>0.2</v>
      </c>
      <c r="H47" s="45">
        <v>7678000</v>
      </c>
      <c r="I47" s="46">
        <f t="shared" si="0"/>
        <v>8.93116122726754</v>
      </c>
      <c r="J47" s="46"/>
      <c r="K47" s="46">
        <v>8.6</v>
      </c>
      <c r="L47" s="47">
        <v>44411.375</v>
      </c>
      <c r="M47" s="46">
        <v>89</v>
      </c>
      <c r="S47" s="13" t="s">
        <v>221</v>
      </c>
      <c r="T47" s="13" t="str">
        <f>_xlfn.DISPIMG("ID_5C1B5B8EA2164BF49185CA64500D4BE4",1)</f>
        <v>=DISPIMG("ID_5C1B5B8EA2164BF49185CA64500D4BE4",1)</v>
      </c>
      <c r="U47" s="13" t="s">
        <v>218</v>
      </c>
      <c r="V47" s="60" t="s">
        <v>1470</v>
      </c>
      <c r="W47" s="49" t="s">
        <v>222</v>
      </c>
    </row>
    <row r="48" customHeight="1" spans="1:23">
      <c r="A48" s="52" t="s">
        <v>1471</v>
      </c>
      <c r="B48" s="45">
        <v>7439144.14</v>
      </c>
      <c r="D48" s="45">
        <v>0.2</v>
      </c>
      <c r="H48" s="45">
        <v>6785060.55</v>
      </c>
      <c r="I48" s="46">
        <f t="shared" si="0"/>
        <v>8.79245754203117</v>
      </c>
      <c r="J48" s="46"/>
      <c r="K48" s="46">
        <v>9.3</v>
      </c>
      <c r="L48" s="47">
        <v>44411.375</v>
      </c>
      <c r="M48" s="46">
        <v>90</v>
      </c>
      <c r="S48" s="13" t="s">
        <v>217</v>
      </c>
      <c r="T48" s="13" t="str">
        <f>_xlfn.DISPIMG("ID_340363A8EEB5492796805A1436126B6F",1)</f>
        <v>=DISPIMG("ID_340363A8EEB5492796805A1436126B6F",1)</v>
      </c>
      <c r="U48" s="13" t="s">
        <v>218</v>
      </c>
      <c r="V48" s="60" t="s">
        <v>1470</v>
      </c>
      <c r="W48" s="49" t="s">
        <v>219</v>
      </c>
    </row>
    <row r="49" customHeight="1" spans="1:23">
      <c r="A49" s="54" t="s">
        <v>1472</v>
      </c>
      <c r="B49" s="45">
        <v>9161515.61</v>
      </c>
      <c r="D49" s="45">
        <v>0.5</v>
      </c>
      <c r="H49" s="45">
        <v>8918111.51</v>
      </c>
      <c r="I49" s="46">
        <f t="shared" si="0"/>
        <v>2.65681040519451</v>
      </c>
      <c r="J49" s="46"/>
      <c r="K49" s="46">
        <v>10.8</v>
      </c>
      <c r="L49" s="47">
        <v>44418.375</v>
      </c>
      <c r="M49" s="46">
        <v>114</v>
      </c>
      <c r="S49" s="13" t="s">
        <v>228</v>
      </c>
      <c r="T49" s="13" t="str">
        <f>_xlfn.DISPIMG("ID_DA525B631F12498FBD4C0447472A2F2C",1)</f>
        <v>=DISPIMG("ID_DA525B631F12498FBD4C0447472A2F2C",1)</v>
      </c>
      <c r="U49" s="13" t="s">
        <v>225</v>
      </c>
      <c r="V49" s="60" t="s">
        <v>29</v>
      </c>
      <c r="W49" s="49" t="s">
        <v>229</v>
      </c>
    </row>
    <row r="50" customHeight="1" spans="1:23">
      <c r="A50" s="52" t="s">
        <v>1473</v>
      </c>
      <c r="B50" s="45">
        <v>2441502.26</v>
      </c>
      <c r="D50" s="45">
        <v>98.8</v>
      </c>
      <c r="E50" s="46">
        <v>16</v>
      </c>
      <c r="H50" s="45">
        <v>2263616.95</v>
      </c>
      <c r="I50" s="59">
        <f t="shared" si="0"/>
        <v>7.28589577467766</v>
      </c>
      <c r="J50" s="46"/>
      <c r="K50" s="46">
        <v>8.6</v>
      </c>
      <c r="L50" s="47">
        <v>44419.375</v>
      </c>
      <c r="M50" s="46">
        <v>107</v>
      </c>
      <c r="S50" s="13" t="s">
        <v>231</v>
      </c>
      <c r="T50" s="13" t="str">
        <f t="shared" ref="T50:T57" si="3">_xlfn.DISPIMG("ID_A7C8554973CD403FAE9FF1334A4E7093",1)</f>
        <v>=DISPIMG("ID_A7C8554973CD403FAE9FF1334A4E7093",1)</v>
      </c>
      <c r="U50" s="13" t="s">
        <v>26</v>
      </c>
      <c r="V50" s="60" t="s">
        <v>59</v>
      </c>
      <c r="W50" s="49" t="s">
        <v>232</v>
      </c>
    </row>
    <row r="51" customHeight="1" spans="1:23">
      <c r="A51" s="52" t="s">
        <v>1474</v>
      </c>
      <c r="B51" s="45">
        <v>4495089.38</v>
      </c>
      <c r="D51" s="45">
        <v>0.2</v>
      </c>
      <c r="H51" s="45">
        <v>4289439.05</v>
      </c>
      <c r="I51" s="46">
        <f t="shared" si="0"/>
        <v>4.57499979677823</v>
      </c>
      <c r="J51" s="46"/>
      <c r="K51" s="46">
        <v>8.8</v>
      </c>
      <c r="L51" s="47">
        <v>44420.3958333333</v>
      </c>
      <c r="M51" s="46">
        <v>48</v>
      </c>
      <c r="S51" s="13" t="s">
        <v>237</v>
      </c>
      <c r="T51" s="13" t="str">
        <f>_xlfn.DISPIMG("ID_5C1B5B8EA2164BF49185CA64500D4BE4",1)</f>
        <v>=DISPIMG("ID_5C1B5B8EA2164BF49185CA64500D4BE4",1)</v>
      </c>
      <c r="U51" s="13" t="s">
        <v>189</v>
      </c>
      <c r="V51" s="60" t="s">
        <v>40</v>
      </c>
      <c r="W51" s="49" t="s">
        <v>238</v>
      </c>
    </row>
    <row r="52" customHeight="1" spans="1:23">
      <c r="A52" s="52" t="s">
        <v>1475</v>
      </c>
      <c r="B52" s="45">
        <v>13426109.52</v>
      </c>
      <c r="D52" s="45">
        <v>100.4</v>
      </c>
      <c r="E52" s="46">
        <v>14</v>
      </c>
      <c r="H52" s="45">
        <v>11966677.88</v>
      </c>
      <c r="I52" s="59">
        <f t="shared" si="0"/>
        <v>10.8701008123461</v>
      </c>
      <c r="J52" s="46"/>
      <c r="K52" s="46">
        <v>9.3</v>
      </c>
      <c r="L52" s="47">
        <v>44420.375</v>
      </c>
      <c r="M52" s="46">
        <v>1399</v>
      </c>
      <c r="S52" s="13" t="s">
        <v>234</v>
      </c>
      <c r="T52" s="13" t="str">
        <f t="shared" si="3"/>
        <v>=DISPIMG("ID_A7C8554973CD403FAE9FF1334A4E7093",1)</v>
      </c>
      <c r="U52" s="13" t="s">
        <v>26</v>
      </c>
      <c r="V52" s="60" t="s">
        <v>29</v>
      </c>
      <c r="W52" s="49" t="s">
        <v>235</v>
      </c>
    </row>
    <row r="53" customHeight="1" spans="1:23">
      <c r="A53" s="57" t="s">
        <v>1476</v>
      </c>
      <c r="B53" s="45">
        <v>716698.94</v>
      </c>
      <c r="D53" s="45">
        <v>0.4</v>
      </c>
      <c r="H53" s="45">
        <v>696796.22</v>
      </c>
      <c r="I53" s="46">
        <f t="shared" si="0"/>
        <v>2.77699866557636</v>
      </c>
      <c r="J53" s="46"/>
      <c r="K53" s="46">
        <v>3.1</v>
      </c>
      <c r="L53" s="47">
        <v>44405.375</v>
      </c>
      <c r="M53" s="46">
        <v>19</v>
      </c>
      <c r="S53" s="13" t="s">
        <v>213</v>
      </c>
      <c r="T53" s="13" t="str">
        <f>_xlfn.DISPIMG("ID_688F788D626549FDB0C5FF40CDC34B6E",1)</f>
        <v>=DISPIMG("ID_688F788D626549FDB0C5FF40CDC34B6E",1)</v>
      </c>
      <c r="U53" s="13" t="s">
        <v>214</v>
      </c>
      <c r="V53" s="48" t="s">
        <v>147</v>
      </c>
      <c r="W53" s="49" t="s">
        <v>215</v>
      </c>
    </row>
    <row r="54" customHeight="1" spans="1:23">
      <c r="A54" s="49" t="s">
        <v>1477</v>
      </c>
      <c r="B54" s="45">
        <v>25996315.46</v>
      </c>
      <c r="D54" s="45">
        <v>0.5</v>
      </c>
      <c r="H54" s="45">
        <v>25674741.04</v>
      </c>
      <c r="I54" s="46">
        <f t="shared" si="0"/>
        <v>1.23699999138263</v>
      </c>
      <c r="J54" s="46"/>
      <c r="K54" s="46">
        <v>10.6</v>
      </c>
      <c r="L54" s="47">
        <v>44414.375</v>
      </c>
      <c r="M54" s="46">
        <v>87</v>
      </c>
      <c r="S54" s="61" t="s">
        <v>224</v>
      </c>
      <c r="T54" s="13" t="str">
        <f>_xlfn.DISPIMG("ID_DA525B631F12498FBD4C0447472A2F2C",1)</f>
        <v>=DISPIMG("ID_DA525B631F12498FBD4C0447472A2F2C",1)</v>
      </c>
      <c r="U54" s="13" t="s">
        <v>225</v>
      </c>
      <c r="V54" s="48" t="s">
        <v>29</v>
      </c>
      <c r="W54" s="49" t="s">
        <v>226</v>
      </c>
    </row>
    <row r="55" customHeight="1" spans="1:23">
      <c r="A55" s="52" t="s">
        <v>1478</v>
      </c>
      <c r="B55" s="45">
        <v>7936826.71</v>
      </c>
      <c r="D55" s="45">
        <v>100.8</v>
      </c>
      <c r="E55" s="46">
        <v>15</v>
      </c>
      <c r="H55" s="45">
        <v>7115756.2</v>
      </c>
      <c r="I55" s="59">
        <f t="shared" si="0"/>
        <v>10.3450729113878</v>
      </c>
      <c r="J55" s="46"/>
      <c r="K55" s="46">
        <v>8.3</v>
      </c>
      <c r="L55" s="47">
        <v>44421.375</v>
      </c>
      <c r="M55" s="46">
        <v>708</v>
      </c>
      <c r="S55" s="13" t="s">
        <v>240</v>
      </c>
      <c r="T55" s="13" t="str">
        <f t="shared" si="3"/>
        <v>=DISPIMG("ID_A7C8554973CD403FAE9FF1334A4E7093",1)</v>
      </c>
      <c r="U55" s="13" t="s">
        <v>26</v>
      </c>
      <c r="V55" s="48" t="s">
        <v>29</v>
      </c>
      <c r="W55" s="49" t="s">
        <v>241</v>
      </c>
    </row>
    <row r="56" customHeight="1" spans="1:23">
      <c r="A56" s="52" t="s">
        <v>1479</v>
      </c>
      <c r="B56" s="45">
        <v>7989233.08</v>
      </c>
      <c r="D56" s="45">
        <v>101.6</v>
      </c>
      <c r="E56" s="46">
        <v>18</v>
      </c>
      <c r="H56" s="45">
        <v>7545191.51</v>
      </c>
      <c r="I56" s="59">
        <f t="shared" si="0"/>
        <v>5.55799994259274</v>
      </c>
      <c r="K56" s="46">
        <v>6.6</v>
      </c>
      <c r="L56" s="47">
        <v>44427.375</v>
      </c>
      <c r="M56" s="46">
        <v>167</v>
      </c>
      <c r="S56" s="13" t="s">
        <v>249</v>
      </c>
      <c r="T56" s="13" t="str">
        <f t="shared" si="3"/>
        <v>=DISPIMG("ID_A7C8554973CD403FAE9FF1334A4E7093",1)</v>
      </c>
      <c r="U56" s="13" t="s">
        <v>26</v>
      </c>
      <c r="V56" s="62" t="s">
        <v>59</v>
      </c>
      <c r="W56" s="49" t="s">
        <v>250</v>
      </c>
    </row>
    <row r="57" customHeight="1" spans="1:23">
      <c r="A57" s="52" t="s">
        <v>1480</v>
      </c>
      <c r="B57" s="45">
        <v>7334546.91</v>
      </c>
      <c r="D57" s="45">
        <v>99.2</v>
      </c>
      <c r="E57" s="46">
        <v>20</v>
      </c>
      <c r="H57" s="45">
        <v>6484252.28</v>
      </c>
      <c r="I57" s="59">
        <f t="shared" si="0"/>
        <v>11.5930082721361</v>
      </c>
      <c r="K57" s="46">
        <v>9.2</v>
      </c>
      <c r="L57" s="47">
        <v>44427.375</v>
      </c>
      <c r="M57" s="46">
        <v>717</v>
      </c>
      <c r="S57" s="13" t="s">
        <v>246</v>
      </c>
      <c r="T57" s="13" t="str">
        <f t="shared" si="3"/>
        <v>=DISPIMG("ID_A7C8554973CD403FAE9FF1334A4E7093",1)</v>
      </c>
      <c r="U57" s="13" t="s">
        <v>26</v>
      </c>
      <c r="V57" s="62" t="s">
        <v>29</v>
      </c>
      <c r="W57" s="49" t="s">
        <v>247</v>
      </c>
    </row>
    <row r="58" customHeight="1" spans="1:23">
      <c r="A58" s="52" t="s">
        <v>1481</v>
      </c>
      <c r="B58" s="45">
        <v>7023786</v>
      </c>
      <c r="D58" s="45">
        <v>101.6</v>
      </c>
      <c r="F58" s="46">
        <f>100-100*G58</f>
        <v>8.12007875417061</v>
      </c>
      <c r="G58" s="46">
        <f>(100-I58)/D58</f>
        <v>0.918799212458294</v>
      </c>
      <c r="H58" s="45">
        <v>6556704.23</v>
      </c>
      <c r="I58" s="46">
        <f t="shared" si="0"/>
        <v>6.65000001423734</v>
      </c>
      <c r="K58" s="46">
        <v>9.8</v>
      </c>
      <c r="L58" s="47">
        <v>44369.3958333333</v>
      </c>
      <c r="M58" s="46">
        <v>428</v>
      </c>
      <c r="S58" s="13" t="s">
        <v>173</v>
      </c>
      <c r="T58" s="13" t="str">
        <f>_xlfn.DISPIMG("ID_B45AC5B0931F41358AA01BD5585B5788",1)</f>
        <v>=DISPIMG("ID_B45AC5B0931F41358AA01BD5585B5788",1)</v>
      </c>
      <c r="U58" s="13" t="s">
        <v>119</v>
      </c>
      <c r="V58" s="60" t="s">
        <v>120</v>
      </c>
      <c r="W58" s="49" t="s">
        <v>174</v>
      </c>
    </row>
    <row r="59" customHeight="1" spans="1:23">
      <c r="A59" s="53" t="s">
        <v>1482</v>
      </c>
      <c r="B59" s="45">
        <v>18418593.86</v>
      </c>
      <c r="D59" s="45">
        <v>102</v>
      </c>
      <c r="F59" s="46">
        <f>100-100*G59</f>
        <v>7.58999466516576</v>
      </c>
      <c r="G59" s="46">
        <f>(100-I59)/D59</f>
        <v>0.924100053348342</v>
      </c>
      <c r="H59" s="45">
        <v>17361036.04</v>
      </c>
      <c r="I59" s="46">
        <f t="shared" si="0"/>
        <v>5.74179455846908</v>
      </c>
      <c r="K59" s="46">
        <v>7.6</v>
      </c>
      <c r="L59" s="47">
        <v>44425.375</v>
      </c>
      <c r="M59" s="46">
        <v>361</v>
      </c>
      <c r="S59" s="13" t="s">
        <v>243</v>
      </c>
      <c r="T59" s="13" t="str">
        <f>_xlfn.DISPIMG("ID_B45AC5B0931F41358AA01BD5585B5788",1)</f>
        <v>=DISPIMG("ID_B45AC5B0931F41358AA01BD5585B5788",1)</v>
      </c>
      <c r="U59" s="13" t="s">
        <v>119</v>
      </c>
      <c r="V59" s="60" t="s">
        <v>120</v>
      </c>
      <c r="W59" s="49" t="s">
        <v>244</v>
      </c>
    </row>
    <row r="60" customHeight="1" spans="1:23">
      <c r="A60" s="49" t="s">
        <v>1483</v>
      </c>
      <c r="B60" s="45">
        <v>4693350.11</v>
      </c>
      <c r="D60" s="45">
        <v>0.1</v>
      </c>
      <c r="H60" s="45">
        <v>4224062.03</v>
      </c>
      <c r="I60" s="46">
        <f t="shared" si="0"/>
        <v>9.9990000532903</v>
      </c>
      <c r="K60" s="46">
        <v>4.8</v>
      </c>
      <c r="L60" s="47">
        <v>44435.375</v>
      </c>
      <c r="M60" s="46">
        <v>210</v>
      </c>
      <c r="S60" s="13" t="s">
        <v>290</v>
      </c>
      <c r="T60" s="13" t="str">
        <f t="shared" ref="T60:T77" si="4">_xlfn.DISPIMG("ID_4EAD7450AB2C47E09A8A6BFF0FD5F2B4",1)</f>
        <v>=DISPIMG("ID_4EAD7450AB2C47E09A8A6BFF0FD5F2B4",1)</v>
      </c>
      <c r="U60" s="13" t="s">
        <v>39</v>
      </c>
      <c r="V60" s="48" t="s">
        <v>40</v>
      </c>
      <c r="W60" s="49" t="s">
        <v>258</v>
      </c>
    </row>
    <row r="61" customHeight="1" spans="1:23">
      <c r="A61" s="49" t="s">
        <v>1484</v>
      </c>
      <c r="B61" s="45">
        <v>3673443.43</v>
      </c>
      <c r="D61" s="45">
        <v>0.2</v>
      </c>
      <c r="H61" s="45">
        <v>3396465.8</v>
      </c>
      <c r="I61" s="46">
        <f t="shared" si="0"/>
        <v>7.53999987417801</v>
      </c>
      <c r="K61" s="46">
        <v>10</v>
      </c>
      <c r="L61" s="47">
        <v>44435.375</v>
      </c>
      <c r="M61" s="46">
        <v>212</v>
      </c>
      <c r="S61" s="13" t="s">
        <v>282</v>
      </c>
      <c r="T61" s="13" t="str">
        <f t="shared" si="4"/>
        <v>=DISPIMG("ID_4EAD7450AB2C47E09A8A6BFF0FD5F2B4",1)</v>
      </c>
      <c r="U61" s="13" t="s">
        <v>39</v>
      </c>
      <c r="V61" s="48" t="s">
        <v>40</v>
      </c>
      <c r="W61" s="49" t="s">
        <v>258</v>
      </c>
    </row>
    <row r="62" customHeight="1" spans="1:23">
      <c r="A62" s="49" t="s">
        <v>1485</v>
      </c>
      <c r="B62" s="45">
        <v>4976399.74</v>
      </c>
      <c r="D62" s="45">
        <v>0.1</v>
      </c>
      <c r="H62" s="45">
        <v>4337927.65</v>
      </c>
      <c r="I62" s="46">
        <f t="shared" si="0"/>
        <v>12.8300000674785</v>
      </c>
      <c r="K62" s="46">
        <v>8.3</v>
      </c>
      <c r="L62" s="47">
        <v>44435.375</v>
      </c>
      <c r="M62" s="46">
        <v>213</v>
      </c>
      <c r="S62" s="13" t="s">
        <v>274</v>
      </c>
      <c r="T62" s="13" t="str">
        <f t="shared" si="4"/>
        <v>=DISPIMG("ID_4EAD7450AB2C47E09A8A6BFF0FD5F2B4",1)</v>
      </c>
      <c r="U62" s="13" t="s">
        <v>39</v>
      </c>
      <c r="V62" s="48" t="s">
        <v>40</v>
      </c>
      <c r="W62" s="49" t="s">
        <v>258</v>
      </c>
    </row>
    <row r="63" customHeight="1" spans="1:23">
      <c r="A63" s="49" t="s">
        <v>1486</v>
      </c>
      <c r="B63" s="45">
        <v>6128239.74</v>
      </c>
      <c r="D63" s="45">
        <v>0.3</v>
      </c>
      <c r="H63" s="45">
        <v>5912046.44</v>
      </c>
      <c r="I63" s="46">
        <f t="shared" si="0"/>
        <v>3.52782053529779</v>
      </c>
      <c r="K63" s="46">
        <v>11.6</v>
      </c>
      <c r="L63" s="47">
        <v>44435.375</v>
      </c>
      <c r="M63" s="46">
        <v>216</v>
      </c>
      <c r="S63" s="13" t="s">
        <v>260</v>
      </c>
      <c r="T63" s="13" t="str">
        <f t="shared" si="4"/>
        <v>=DISPIMG("ID_4EAD7450AB2C47E09A8A6BFF0FD5F2B4",1)</v>
      </c>
      <c r="U63" s="13" t="s">
        <v>39</v>
      </c>
      <c r="V63" s="48" t="s">
        <v>40</v>
      </c>
      <c r="W63" s="49" t="s">
        <v>258</v>
      </c>
    </row>
    <row r="64" customHeight="1" spans="1:23">
      <c r="A64" s="49" t="s">
        <v>1487</v>
      </c>
      <c r="B64" s="45">
        <v>3458604.82</v>
      </c>
      <c r="D64" s="45">
        <v>0.2</v>
      </c>
      <c r="H64" s="45">
        <v>3129340.2</v>
      </c>
      <c r="I64" s="46">
        <f t="shared" si="0"/>
        <v>9.52015732170291</v>
      </c>
      <c r="K64" s="46">
        <v>7.8</v>
      </c>
      <c r="L64" s="47">
        <v>44435.375</v>
      </c>
      <c r="M64" s="46">
        <v>212</v>
      </c>
      <c r="S64" s="13" t="s">
        <v>284</v>
      </c>
      <c r="T64" s="13" t="str">
        <f t="shared" si="4"/>
        <v>=DISPIMG("ID_4EAD7450AB2C47E09A8A6BFF0FD5F2B4",1)</v>
      </c>
      <c r="U64" s="13" t="s">
        <v>39</v>
      </c>
      <c r="V64" s="48" t="s">
        <v>40</v>
      </c>
      <c r="W64" s="49" t="s">
        <v>258</v>
      </c>
    </row>
    <row r="65" customHeight="1" spans="1:23">
      <c r="A65" s="49" t="s">
        <v>1488</v>
      </c>
      <c r="B65" s="45">
        <v>4004158.75</v>
      </c>
      <c r="D65" s="45">
        <v>0.3</v>
      </c>
      <c r="H65" s="45">
        <v>3757382.68</v>
      </c>
      <c r="I65" s="46">
        <f t="shared" si="0"/>
        <v>6.16299416200719</v>
      </c>
      <c r="K65" s="46">
        <v>10.3</v>
      </c>
      <c r="L65" s="47">
        <v>44435.375</v>
      </c>
      <c r="M65" s="46">
        <v>213</v>
      </c>
      <c r="S65" s="13" t="s">
        <v>276</v>
      </c>
      <c r="T65" s="13" t="str">
        <f t="shared" si="4"/>
        <v>=DISPIMG("ID_4EAD7450AB2C47E09A8A6BFF0FD5F2B4",1)</v>
      </c>
      <c r="U65" s="13" t="s">
        <v>39</v>
      </c>
      <c r="V65" s="48" t="s">
        <v>40</v>
      </c>
      <c r="W65" s="49" t="s">
        <v>258</v>
      </c>
    </row>
    <row r="66" customHeight="1" spans="1:23">
      <c r="A66" s="49" t="s">
        <v>1489</v>
      </c>
      <c r="B66" s="45">
        <v>5807283.1</v>
      </c>
      <c r="D66" s="45">
        <v>0.1</v>
      </c>
      <c r="H66" s="45">
        <v>5433294.07</v>
      </c>
      <c r="I66" s="46">
        <f t="shared" ref="I66:I129" si="5">100-100*H66/B66</f>
        <v>6.43999997175959</v>
      </c>
      <c r="K66" s="46">
        <v>8.2</v>
      </c>
      <c r="L66" s="47">
        <v>44435.375</v>
      </c>
      <c r="M66" s="46">
        <v>214</v>
      </c>
      <c r="S66" s="13" t="s">
        <v>266</v>
      </c>
      <c r="T66" s="13" t="str">
        <f t="shared" si="4"/>
        <v>=DISPIMG("ID_4EAD7450AB2C47E09A8A6BFF0FD5F2B4",1)</v>
      </c>
      <c r="U66" s="13" t="s">
        <v>39</v>
      </c>
      <c r="V66" s="48" t="s">
        <v>40</v>
      </c>
      <c r="W66" s="49" t="s">
        <v>258</v>
      </c>
    </row>
    <row r="67" customHeight="1" spans="1:23">
      <c r="A67" s="49" t="s">
        <v>1490</v>
      </c>
      <c r="B67" s="45">
        <v>4692195.64</v>
      </c>
      <c r="D67" s="45">
        <v>0.2</v>
      </c>
      <c r="H67" s="45">
        <v>4392558.53</v>
      </c>
      <c r="I67" s="46">
        <f t="shared" si="5"/>
        <v>6.38586139600947</v>
      </c>
      <c r="K67" s="46">
        <v>7.2</v>
      </c>
      <c r="L67" s="47">
        <v>44435.375</v>
      </c>
      <c r="M67" s="46">
        <v>212</v>
      </c>
      <c r="S67" s="13" t="s">
        <v>286</v>
      </c>
      <c r="T67" s="13" t="str">
        <f t="shared" si="4"/>
        <v>=DISPIMG("ID_4EAD7450AB2C47E09A8A6BFF0FD5F2B4",1)</v>
      </c>
      <c r="U67" s="13" t="s">
        <v>39</v>
      </c>
      <c r="V67" s="48" t="s">
        <v>40</v>
      </c>
      <c r="W67" s="49" t="s">
        <v>258</v>
      </c>
    </row>
    <row r="68" customHeight="1" spans="1:23">
      <c r="A68" s="49" t="s">
        <v>1491</v>
      </c>
      <c r="B68" s="45">
        <v>4158856.76</v>
      </c>
      <c r="D68" s="45">
        <v>0.3</v>
      </c>
      <c r="H68" s="45">
        <v>3693107.07</v>
      </c>
      <c r="I68" s="46">
        <f t="shared" si="5"/>
        <v>11.1989836841604</v>
      </c>
      <c r="K68" s="46">
        <v>6.2</v>
      </c>
      <c r="L68" s="47">
        <v>44435.375</v>
      </c>
      <c r="M68" s="46">
        <v>214</v>
      </c>
      <c r="S68" s="13" t="s">
        <v>268</v>
      </c>
      <c r="T68" s="13" t="str">
        <f t="shared" si="4"/>
        <v>=DISPIMG("ID_4EAD7450AB2C47E09A8A6BFF0FD5F2B4",1)</v>
      </c>
      <c r="U68" s="13" t="s">
        <v>39</v>
      </c>
      <c r="V68" s="48" t="s">
        <v>40</v>
      </c>
      <c r="W68" s="49" t="s">
        <v>258</v>
      </c>
    </row>
    <row r="69" customHeight="1" spans="1:23">
      <c r="A69" s="49" t="s">
        <v>1492</v>
      </c>
      <c r="B69" s="45">
        <v>4915340.6</v>
      </c>
      <c r="D69" s="45">
        <v>0.3</v>
      </c>
      <c r="H69" s="45">
        <v>4435111.82</v>
      </c>
      <c r="I69" s="46">
        <f t="shared" si="5"/>
        <v>9.7700000687643</v>
      </c>
      <c r="K69" s="46">
        <v>11.2</v>
      </c>
      <c r="L69" s="47">
        <v>44435.375</v>
      </c>
      <c r="M69" s="46">
        <v>215</v>
      </c>
      <c r="S69" s="13" t="s">
        <v>262</v>
      </c>
      <c r="T69" s="13" t="str">
        <f t="shared" si="4"/>
        <v>=DISPIMG("ID_4EAD7450AB2C47E09A8A6BFF0FD5F2B4",1)</v>
      </c>
      <c r="U69" s="13" t="s">
        <v>39</v>
      </c>
      <c r="V69" s="48" t="s">
        <v>40</v>
      </c>
      <c r="W69" s="49" t="s">
        <v>258</v>
      </c>
    </row>
    <row r="70" customHeight="1" spans="1:23">
      <c r="A70" s="49" t="s">
        <v>1493</v>
      </c>
      <c r="B70" s="45">
        <v>4224030.54</v>
      </c>
      <c r="D70" s="45">
        <v>0.1</v>
      </c>
      <c r="H70" s="45">
        <v>3874744.69</v>
      </c>
      <c r="I70" s="46">
        <f t="shared" si="5"/>
        <v>8.26901810231703</v>
      </c>
      <c r="K70" s="46">
        <v>9.2</v>
      </c>
      <c r="L70" s="47">
        <v>44435.375</v>
      </c>
      <c r="M70" s="46">
        <v>213</v>
      </c>
      <c r="S70" s="13" t="s">
        <v>278</v>
      </c>
      <c r="T70" s="13" t="str">
        <f t="shared" si="4"/>
        <v>=DISPIMG("ID_4EAD7450AB2C47E09A8A6BFF0FD5F2B4",1)</v>
      </c>
      <c r="U70" s="13" t="s">
        <v>39</v>
      </c>
      <c r="V70" s="48" t="s">
        <v>40</v>
      </c>
      <c r="W70" s="49" t="s">
        <v>258</v>
      </c>
    </row>
    <row r="71" customHeight="1" spans="1:23">
      <c r="A71" s="49" t="s">
        <v>1494</v>
      </c>
      <c r="B71" s="45">
        <v>6073786.28</v>
      </c>
      <c r="D71" s="45">
        <v>0.2</v>
      </c>
      <c r="H71" s="45">
        <v>5728494.24</v>
      </c>
      <c r="I71" s="46">
        <f t="shared" si="5"/>
        <v>5.68495538173596</v>
      </c>
      <c r="K71" s="46">
        <v>4.2</v>
      </c>
      <c r="L71" s="47">
        <v>44435.375</v>
      </c>
      <c r="M71" s="46">
        <v>215</v>
      </c>
      <c r="S71" s="13" t="s">
        <v>264</v>
      </c>
      <c r="T71" s="13" t="str">
        <f t="shared" si="4"/>
        <v>=DISPIMG("ID_4EAD7450AB2C47E09A8A6BFF0FD5F2B4",1)</v>
      </c>
      <c r="U71" s="13" t="s">
        <v>39</v>
      </c>
      <c r="V71" s="48" t="s">
        <v>40</v>
      </c>
      <c r="W71" s="49" t="s">
        <v>258</v>
      </c>
    </row>
    <row r="72" customHeight="1" spans="1:23">
      <c r="A72" s="57" t="s">
        <v>1495</v>
      </c>
      <c r="B72" s="45">
        <v>5224419.9</v>
      </c>
      <c r="D72" s="45">
        <v>0.2</v>
      </c>
      <c r="H72" s="45">
        <v>4836503.31</v>
      </c>
      <c r="I72" s="46">
        <f t="shared" si="5"/>
        <v>7.42506531682112</v>
      </c>
      <c r="K72" s="46">
        <v>7.6</v>
      </c>
      <c r="L72" s="47">
        <v>44435.375</v>
      </c>
      <c r="M72" s="46">
        <v>217</v>
      </c>
      <c r="S72" s="13" t="s">
        <v>257</v>
      </c>
      <c r="T72" s="13" t="str">
        <f t="shared" si="4"/>
        <v>=DISPIMG("ID_4EAD7450AB2C47E09A8A6BFF0FD5F2B4",1)</v>
      </c>
      <c r="U72" s="13" t="s">
        <v>39</v>
      </c>
      <c r="V72" s="48" t="s">
        <v>40</v>
      </c>
      <c r="W72" s="49" t="s">
        <v>258</v>
      </c>
    </row>
    <row r="73" customHeight="1" spans="1:23">
      <c r="A73" s="49" t="s">
        <v>1496</v>
      </c>
      <c r="B73" s="45">
        <v>5382853</v>
      </c>
      <c r="D73" s="45">
        <v>0.3</v>
      </c>
      <c r="H73" s="45">
        <v>4942535.62</v>
      </c>
      <c r="I73" s="46">
        <f t="shared" si="5"/>
        <v>8.18000008545654</v>
      </c>
      <c r="K73" s="46">
        <v>7.8</v>
      </c>
      <c r="L73" s="47">
        <v>44435.375</v>
      </c>
      <c r="M73" s="46">
        <v>214</v>
      </c>
      <c r="S73" s="13" t="s">
        <v>270</v>
      </c>
      <c r="T73" s="13" t="str">
        <f t="shared" si="4"/>
        <v>=DISPIMG("ID_4EAD7450AB2C47E09A8A6BFF0FD5F2B4",1)</v>
      </c>
      <c r="U73" s="13" t="s">
        <v>39</v>
      </c>
      <c r="V73" s="48" t="s">
        <v>40</v>
      </c>
      <c r="W73" s="49" t="s">
        <v>258</v>
      </c>
    </row>
    <row r="74" customHeight="1" spans="1:23">
      <c r="A74" s="49" t="s">
        <v>1497</v>
      </c>
      <c r="B74" s="45">
        <v>6027141.74</v>
      </c>
      <c r="D74" s="45">
        <v>0.2</v>
      </c>
      <c r="H74" s="45">
        <v>5789371</v>
      </c>
      <c r="I74" s="46">
        <f t="shared" si="5"/>
        <v>3.94499997273998</v>
      </c>
      <c r="K74" s="46">
        <v>5.8</v>
      </c>
      <c r="L74" s="47">
        <v>44435.375</v>
      </c>
      <c r="M74" s="46">
        <v>213</v>
      </c>
      <c r="S74" s="13" t="s">
        <v>280</v>
      </c>
      <c r="T74" s="13" t="str">
        <f t="shared" si="4"/>
        <v>=DISPIMG("ID_4EAD7450AB2C47E09A8A6BFF0FD5F2B4",1)</v>
      </c>
      <c r="U74" s="13" t="s">
        <v>39</v>
      </c>
      <c r="V74" s="48" t="s">
        <v>40</v>
      </c>
      <c r="W74" s="49" t="s">
        <v>258</v>
      </c>
    </row>
    <row r="75" customHeight="1" spans="1:23">
      <c r="A75" s="49" t="s">
        <v>1498</v>
      </c>
      <c r="B75" s="45">
        <v>5617009.93</v>
      </c>
      <c r="D75" s="45">
        <v>0.1</v>
      </c>
      <c r="H75" s="45">
        <v>5200901.83</v>
      </c>
      <c r="I75" s="46">
        <f t="shared" si="5"/>
        <v>7.40800007807712</v>
      </c>
      <c r="K75" s="46">
        <v>6.3</v>
      </c>
      <c r="L75" s="47">
        <v>44435.375</v>
      </c>
      <c r="M75" s="46">
        <v>214</v>
      </c>
      <c r="S75" s="13" t="s">
        <v>272</v>
      </c>
      <c r="T75" s="13" t="str">
        <f t="shared" si="4"/>
        <v>=DISPIMG("ID_4EAD7450AB2C47E09A8A6BFF0FD5F2B4",1)</v>
      </c>
      <c r="U75" s="13" t="s">
        <v>39</v>
      </c>
      <c r="V75" s="48" t="s">
        <v>40</v>
      </c>
      <c r="W75" s="49" t="s">
        <v>258</v>
      </c>
    </row>
    <row r="76" customHeight="1" spans="1:23">
      <c r="A76" s="49" t="s">
        <v>1499</v>
      </c>
      <c r="B76" s="45">
        <v>3804957.13</v>
      </c>
      <c r="D76" s="45">
        <v>0.3</v>
      </c>
      <c r="H76" s="45">
        <v>3590685.91</v>
      </c>
      <c r="I76" s="46">
        <f t="shared" si="5"/>
        <v>5.63137014897195</v>
      </c>
      <c r="K76" s="46">
        <v>9.3</v>
      </c>
      <c r="L76" s="47">
        <v>44435.375</v>
      </c>
      <c r="M76" s="46">
        <v>209</v>
      </c>
      <c r="S76" s="13" t="s">
        <v>292</v>
      </c>
      <c r="T76" s="13" t="str">
        <f t="shared" si="4"/>
        <v>=DISPIMG("ID_4EAD7450AB2C47E09A8A6BFF0FD5F2B4",1)</v>
      </c>
      <c r="U76" s="13" t="s">
        <v>39</v>
      </c>
      <c r="V76" s="48" t="s">
        <v>40</v>
      </c>
      <c r="W76" s="49" t="s">
        <v>258</v>
      </c>
    </row>
    <row r="77" customHeight="1" spans="1:23">
      <c r="A77" s="49" t="s">
        <v>1500</v>
      </c>
      <c r="B77" s="45">
        <v>4331243.92</v>
      </c>
      <c r="D77" s="45">
        <v>0.1</v>
      </c>
      <c r="H77" s="45">
        <v>3831071.87</v>
      </c>
      <c r="I77" s="46">
        <f t="shared" si="5"/>
        <v>11.5480000489097</v>
      </c>
      <c r="K77" s="46">
        <v>8.3</v>
      </c>
      <c r="L77" s="47">
        <v>44435.375</v>
      </c>
      <c r="M77" s="46">
        <v>211</v>
      </c>
      <c r="S77" s="13" t="s">
        <v>288</v>
      </c>
      <c r="T77" s="13" t="str">
        <f t="shared" si="4"/>
        <v>=DISPIMG("ID_4EAD7450AB2C47E09A8A6BFF0FD5F2B4",1)</v>
      </c>
      <c r="U77" s="13" t="s">
        <v>39</v>
      </c>
      <c r="V77" s="48" t="s">
        <v>40</v>
      </c>
      <c r="W77" s="49" t="s">
        <v>258</v>
      </c>
    </row>
    <row r="78" customHeight="1" spans="1:22">
      <c r="A78" s="52" t="s">
        <v>1501</v>
      </c>
      <c r="B78" s="45">
        <v>4179941.03</v>
      </c>
      <c r="D78" s="45">
        <v>98</v>
      </c>
      <c r="E78" s="46">
        <v>17</v>
      </c>
      <c r="H78" s="45">
        <v>3676049.17</v>
      </c>
      <c r="I78" s="59">
        <f t="shared" si="5"/>
        <v>12.0549992543794</v>
      </c>
      <c r="K78" s="46">
        <v>11.3</v>
      </c>
      <c r="L78" s="47">
        <v>44427.4375</v>
      </c>
      <c r="M78" s="46">
        <v>333</v>
      </c>
      <c r="S78" s="13" t="s">
        <v>252</v>
      </c>
      <c r="T78" s="13" t="str">
        <f>_xlfn.DISPIMG("ID_A7C8554973CD403FAE9FF1334A4E7093",1)</f>
        <v>=DISPIMG("ID_A7C8554973CD403FAE9FF1334A4E7093",1)</v>
      </c>
      <c r="U78" s="13" t="s">
        <v>26</v>
      </c>
      <c r="V78" s="48" t="s">
        <v>29</v>
      </c>
    </row>
    <row r="79" customHeight="1" spans="1:23">
      <c r="A79" s="55" t="s">
        <v>1502</v>
      </c>
      <c r="B79" s="45">
        <v>6044883.8</v>
      </c>
      <c r="D79" s="45">
        <v>99.6</v>
      </c>
      <c r="E79" s="46">
        <v>20</v>
      </c>
      <c r="H79" s="45">
        <v>5369368.04</v>
      </c>
      <c r="I79" s="59">
        <f t="shared" si="5"/>
        <v>11.1749999230754</v>
      </c>
      <c r="K79" s="46">
        <v>10.5</v>
      </c>
      <c r="L79" s="47">
        <v>44434.375</v>
      </c>
      <c r="M79" s="46">
        <v>426</v>
      </c>
      <c r="S79" s="13" t="s">
        <v>254</v>
      </c>
      <c r="T79" s="13" t="str">
        <f>_xlfn.DISPIMG("ID_A7C8554973CD403FAE9FF1334A4E7093",1)</f>
        <v>=DISPIMG("ID_A7C8554973CD403FAE9FF1334A4E7093",1)</v>
      </c>
      <c r="U79" s="13" t="s">
        <v>26</v>
      </c>
      <c r="V79" s="62" t="s">
        <v>29</v>
      </c>
      <c r="W79" s="49" t="s">
        <v>255</v>
      </c>
    </row>
    <row r="80" customHeight="1" spans="1:22">
      <c r="A80" s="52" t="s">
        <v>1503</v>
      </c>
      <c r="B80" s="45">
        <v>34246926.93</v>
      </c>
      <c r="D80" s="45">
        <v>0.4</v>
      </c>
      <c r="H80" s="45">
        <v>32198960.7</v>
      </c>
      <c r="I80" s="46">
        <f t="shared" si="5"/>
        <v>5.97999999879113</v>
      </c>
      <c r="K80" s="46">
        <v>7.6</v>
      </c>
      <c r="L80" s="47">
        <v>44441.375</v>
      </c>
      <c r="M80" s="46">
        <v>82</v>
      </c>
      <c r="S80" s="13" t="s">
        <v>297</v>
      </c>
      <c r="T80" s="13" t="str">
        <f t="shared" ref="T80:T84" si="6">_xlfn.DISPIMG("ID_DA525B631F12498FBD4C0447472A2F2C",1)</f>
        <v>=DISPIMG("ID_DA525B631F12498FBD4C0447472A2F2C",1)</v>
      </c>
      <c r="U80" s="13" t="s">
        <v>225</v>
      </c>
      <c r="V80" s="62" t="s">
        <v>29</v>
      </c>
    </row>
    <row r="81" customHeight="1" spans="1:23">
      <c r="A81" s="52" t="s">
        <v>1504</v>
      </c>
      <c r="B81" s="45">
        <v>23990383.32</v>
      </c>
      <c r="D81" s="45">
        <v>101.2</v>
      </c>
      <c r="E81" s="46">
        <v>16</v>
      </c>
      <c r="H81" s="45">
        <v>22601843.92</v>
      </c>
      <c r="I81" s="59">
        <f t="shared" si="5"/>
        <v>5.78790001593022</v>
      </c>
      <c r="K81" s="46">
        <v>6.8</v>
      </c>
      <c r="L81" s="47">
        <v>44440.4375</v>
      </c>
      <c r="M81" s="46">
        <v>324</v>
      </c>
      <c r="S81" s="13" t="s">
        <v>294</v>
      </c>
      <c r="T81" s="13" t="str">
        <f>_xlfn.DISPIMG("ID_A7C8554973CD403FAE9FF1334A4E7093",1)</f>
        <v>=DISPIMG("ID_A7C8554973CD403FAE9FF1334A4E7093",1)</v>
      </c>
      <c r="U81" s="13" t="s">
        <v>26</v>
      </c>
      <c r="V81" s="60" t="s">
        <v>82</v>
      </c>
      <c r="W81" s="49" t="s">
        <v>295</v>
      </c>
    </row>
    <row r="82" customHeight="1" spans="1:23">
      <c r="A82" s="52" t="s">
        <v>1505</v>
      </c>
      <c r="B82" s="45">
        <v>37206957.17</v>
      </c>
      <c r="H82" s="45">
        <v>32325154.35</v>
      </c>
      <c r="I82" s="59">
        <f t="shared" si="5"/>
        <v>13.120672022963</v>
      </c>
      <c r="K82" s="46">
        <v>6.68</v>
      </c>
      <c r="L82" s="47">
        <v>44442.375</v>
      </c>
      <c r="M82" s="46">
        <v>276</v>
      </c>
      <c r="S82" s="13" t="s">
        <v>299</v>
      </c>
      <c r="T82" s="13" t="str">
        <f>_xlfn.DISPIMG("ID_A7C8554973CD403FAE9FF1334A4E7093",1)</f>
        <v>=DISPIMG("ID_A7C8554973CD403FAE9FF1334A4E7093",1)</v>
      </c>
      <c r="U82" s="13" t="s">
        <v>26</v>
      </c>
      <c r="V82" s="62" t="s">
        <v>29</v>
      </c>
      <c r="W82" s="49" t="s">
        <v>300</v>
      </c>
    </row>
    <row r="83" customHeight="1" spans="1:23">
      <c r="A83" s="54" t="s">
        <v>1506</v>
      </c>
      <c r="B83" s="45">
        <v>8173345.5</v>
      </c>
      <c r="D83" s="45">
        <v>0.5</v>
      </c>
      <c r="H83" s="45">
        <v>7993531.9</v>
      </c>
      <c r="I83" s="46">
        <f t="shared" si="5"/>
        <v>2.19999998776511</v>
      </c>
      <c r="K83" s="46">
        <v>11.68</v>
      </c>
      <c r="L83" s="47">
        <v>44447.375</v>
      </c>
      <c r="M83" s="46">
        <v>110</v>
      </c>
      <c r="S83" s="13" t="s">
        <v>302</v>
      </c>
      <c r="T83" s="13" t="str">
        <f t="shared" si="6"/>
        <v>=DISPIMG("ID_DA525B631F12498FBD4C0447472A2F2C",1)</v>
      </c>
      <c r="U83" s="13" t="s">
        <v>225</v>
      </c>
      <c r="V83" s="62" t="s">
        <v>29</v>
      </c>
      <c r="W83" s="49" t="s">
        <v>303</v>
      </c>
    </row>
    <row r="84" customHeight="1" spans="1:23">
      <c r="A84" s="52" t="s">
        <v>1507</v>
      </c>
      <c r="B84" s="45">
        <v>9398883.72</v>
      </c>
      <c r="H84" s="45">
        <v>8573928.53</v>
      </c>
      <c r="I84" s="46">
        <f t="shared" si="5"/>
        <v>8.77716135847675</v>
      </c>
      <c r="K84" s="46">
        <v>7.2</v>
      </c>
      <c r="L84" s="47">
        <v>44448.375</v>
      </c>
      <c r="S84" s="13" t="s">
        <v>312</v>
      </c>
      <c r="T84" s="13" t="str">
        <f>_xlfn.DISPIMG("ID_87ED0F4657E5454A80DCDDB38A3AE5EE",1)</f>
        <v>=DISPIMG("ID_87ED0F4657E5454A80DCDDB38A3AE5EE",1)</v>
      </c>
      <c r="U84" s="13" t="s">
        <v>81</v>
      </c>
      <c r="V84" s="62" t="s">
        <v>29</v>
      </c>
      <c r="W84" s="49" t="s">
        <v>313</v>
      </c>
    </row>
    <row r="85" customHeight="1" spans="1:23">
      <c r="A85" s="52" t="s">
        <v>1508</v>
      </c>
      <c r="B85" s="45">
        <v>12478512.51</v>
      </c>
      <c r="D85" s="45">
        <v>0.3</v>
      </c>
      <c r="H85" s="45">
        <v>11937568.99</v>
      </c>
      <c r="I85" s="46">
        <f t="shared" si="5"/>
        <v>4.33500002156907</v>
      </c>
      <c r="K85" s="46">
        <v>5.6</v>
      </c>
      <c r="L85" s="47">
        <v>44448.375</v>
      </c>
      <c r="M85" s="46">
        <v>70</v>
      </c>
      <c r="S85" s="13" t="s">
        <v>307</v>
      </c>
      <c r="T85" s="13" t="str">
        <f>_xlfn.DISPIMG("ID_AE0769914C7045949C1A2334D1056090",1)</f>
        <v>=DISPIMG("ID_AE0769914C7045949C1A2334D1056090",1)</v>
      </c>
      <c r="U85" s="13" t="s">
        <v>308</v>
      </c>
      <c r="V85" s="48" t="s">
        <v>309</v>
      </c>
      <c r="W85" s="49" t="s">
        <v>310</v>
      </c>
    </row>
    <row r="86" customHeight="1" spans="1:23">
      <c r="A86" s="52" t="s">
        <v>1509</v>
      </c>
      <c r="B86" s="45">
        <v>2060313</v>
      </c>
      <c r="H86" s="45">
        <v>1785790.9</v>
      </c>
      <c r="I86" s="46">
        <f t="shared" si="5"/>
        <v>13.3242910179182</v>
      </c>
      <c r="K86" s="46">
        <v>4.2</v>
      </c>
      <c r="L86" s="47">
        <v>44449.375</v>
      </c>
      <c r="M86" s="46">
        <v>90</v>
      </c>
      <c r="S86" s="13" t="s">
        <v>315</v>
      </c>
      <c r="T86" s="13" t="str">
        <f>_xlfn.DISPIMG("ID_A5C5C48DA77F4825959FA26444F402F2",1)</f>
        <v>=DISPIMG("ID_A5C5C48DA77F4825959FA26444F402F2",1)</v>
      </c>
      <c r="U86" s="13" t="s">
        <v>162</v>
      </c>
      <c r="V86" s="60" t="s">
        <v>1510</v>
      </c>
      <c r="W86" s="49" t="s">
        <v>317</v>
      </c>
    </row>
    <row r="87" customHeight="1" spans="1:23">
      <c r="A87" s="52" t="s">
        <v>321</v>
      </c>
      <c r="B87" s="45">
        <v>2628980.26</v>
      </c>
      <c r="D87" s="45">
        <v>98</v>
      </c>
      <c r="H87" s="45">
        <v>2247167.46</v>
      </c>
      <c r="I87" s="46">
        <f t="shared" si="5"/>
        <v>14.5232281051817</v>
      </c>
      <c r="K87" s="46">
        <v>11.8</v>
      </c>
      <c r="L87" s="47">
        <v>44456.375</v>
      </c>
      <c r="M87" s="46">
        <v>106</v>
      </c>
      <c r="S87" s="13" t="s">
        <v>322</v>
      </c>
      <c r="T87" s="13" t="str">
        <f>_xlfn.DISPIMG("ID_E6776FABE9904741995EC9430A1D9126",1)</f>
        <v>=DISPIMG("ID_E6776FABE9904741995EC9430A1D9126",1)</v>
      </c>
      <c r="U87" s="13" t="s">
        <v>323</v>
      </c>
      <c r="V87" s="60" t="s">
        <v>1510</v>
      </c>
      <c r="W87" s="49" t="s">
        <v>324</v>
      </c>
    </row>
    <row r="88" customHeight="1" spans="1:23">
      <c r="A88" s="55" t="s">
        <v>1511</v>
      </c>
      <c r="B88" s="45">
        <v>5601113.71</v>
      </c>
      <c r="D88" s="45">
        <v>0.2</v>
      </c>
      <c r="H88" s="45">
        <v>5158625.73</v>
      </c>
      <c r="I88" s="46">
        <f t="shared" si="5"/>
        <v>7.89999994483239</v>
      </c>
      <c r="K88" s="46">
        <v>12.5</v>
      </c>
      <c r="L88" s="47">
        <v>44455.375</v>
      </c>
      <c r="M88" s="46">
        <v>180</v>
      </c>
      <c r="S88" s="13" t="s">
        <v>319</v>
      </c>
      <c r="T88" s="13" t="str">
        <f t="shared" ref="T88:T90" si="7">_xlfn.DISPIMG("ID_4EAD7450AB2C47E09A8A6BFF0FD5F2B4",1)</f>
        <v>=DISPIMG("ID_4EAD7450AB2C47E09A8A6BFF0FD5F2B4",1)</v>
      </c>
      <c r="U88" s="13" t="s">
        <v>39</v>
      </c>
      <c r="V88" s="62" t="s">
        <v>40</v>
      </c>
      <c r="W88" s="49" t="s">
        <v>320</v>
      </c>
    </row>
    <row r="89" customHeight="1" spans="1:22">
      <c r="A89" s="52" t="s">
        <v>1512</v>
      </c>
      <c r="B89" s="45">
        <v>6515842.83</v>
      </c>
      <c r="D89" s="45">
        <v>0.3</v>
      </c>
      <c r="H89" s="45">
        <v>6089120.28</v>
      </c>
      <c r="I89" s="46">
        <f t="shared" si="5"/>
        <v>6.54900004701311</v>
      </c>
      <c r="K89" s="46">
        <v>5.3</v>
      </c>
      <c r="L89" s="47">
        <v>44462.375</v>
      </c>
      <c r="M89" s="46">
        <v>45</v>
      </c>
      <c r="S89" s="13" t="s">
        <v>332</v>
      </c>
      <c r="T89" s="13" t="str">
        <f t="shared" si="7"/>
        <v>=DISPIMG("ID_4EAD7450AB2C47E09A8A6BFF0FD5F2B4",1)</v>
      </c>
      <c r="U89" s="13" t="s">
        <v>39</v>
      </c>
      <c r="V89" s="62" t="s">
        <v>40</v>
      </c>
    </row>
    <row r="90" customHeight="1" spans="1:22">
      <c r="A90" s="52" t="s">
        <v>1513</v>
      </c>
      <c r="B90" s="45">
        <v>6565407.58</v>
      </c>
      <c r="D90" s="45">
        <v>0.3</v>
      </c>
      <c r="H90" s="45">
        <v>6109760</v>
      </c>
      <c r="I90" s="46">
        <f t="shared" si="5"/>
        <v>6.94012632799867</v>
      </c>
      <c r="K90" s="46">
        <v>6.6</v>
      </c>
      <c r="L90" s="47">
        <v>44462.3958333333</v>
      </c>
      <c r="M90" s="46">
        <v>46</v>
      </c>
      <c r="S90" s="61" t="s">
        <v>334</v>
      </c>
      <c r="T90" s="13" t="str">
        <f t="shared" si="7"/>
        <v>=DISPIMG("ID_4EAD7450AB2C47E09A8A6BFF0FD5F2B4",1)</v>
      </c>
      <c r="U90" s="13" t="s">
        <v>39</v>
      </c>
      <c r="V90" s="62" t="s">
        <v>40</v>
      </c>
    </row>
    <row r="91" customHeight="1" spans="1:23">
      <c r="A91" s="52" t="s">
        <v>1514</v>
      </c>
      <c r="B91" s="45">
        <v>969268.29</v>
      </c>
      <c r="D91" s="45">
        <v>98</v>
      </c>
      <c r="E91" s="46">
        <v>13</v>
      </c>
      <c r="H91" s="45">
        <v>911292.64</v>
      </c>
      <c r="I91" s="59">
        <f t="shared" si="5"/>
        <v>5.98138313180554</v>
      </c>
      <c r="K91" s="46">
        <v>4.9</v>
      </c>
      <c r="L91" s="47">
        <v>44461.625</v>
      </c>
      <c r="M91" s="46">
        <v>33</v>
      </c>
      <c r="S91" s="13" t="s">
        <v>328</v>
      </c>
      <c r="T91" s="13" t="str">
        <f>_xlfn.DISPIMG("ID_A7C8554973CD403FAE9FF1334A4E7093",1)</f>
        <v>=DISPIMG("ID_A7C8554973CD403FAE9FF1334A4E7093",1)</v>
      </c>
      <c r="U91" s="13" t="s">
        <v>26</v>
      </c>
      <c r="V91" s="60" t="s">
        <v>329</v>
      </c>
      <c r="W91" s="49" t="s">
        <v>330</v>
      </c>
    </row>
    <row r="92" customHeight="1" spans="1:22">
      <c r="A92" s="52" t="s">
        <v>1515</v>
      </c>
      <c r="B92" s="45">
        <v>5855774.12</v>
      </c>
      <c r="D92" s="45">
        <v>0.2</v>
      </c>
      <c r="H92" s="45">
        <v>5393167.96</v>
      </c>
      <c r="I92" s="46">
        <f t="shared" si="5"/>
        <v>7.90000007718878</v>
      </c>
      <c r="K92" s="46">
        <v>6.8</v>
      </c>
      <c r="L92" s="47">
        <v>44462.4166666667</v>
      </c>
      <c r="M92" s="46">
        <v>43</v>
      </c>
      <c r="S92" s="13" t="s">
        <v>336</v>
      </c>
      <c r="T92" s="13" t="str">
        <f>_xlfn.DISPIMG("ID_4EAD7450AB2C47E09A8A6BFF0FD5F2B4",1)</f>
        <v>=DISPIMG("ID_4EAD7450AB2C47E09A8A6BFF0FD5F2B4",1)</v>
      </c>
      <c r="U92" s="13" t="s">
        <v>39</v>
      </c>
      <c r="V92" s="60" t="s">
        <v>40</v>
      </c>
    </row>
    <row r="93" customHeight="1" spans="1:22">
      <c r="A93" s="52" t="s">
        <v>1516</v>
      </c>
      <c r="B93" s="45">
        <v>8709637.43</v>
      </c>
      <c r="D93" s="45">
        <v>0.1</v>
      </c>
      <c r="H93" s="45">
        <v>8029414</v>
      </c>
      <c r="I93" s="46">
        <f t="shared" si="5"/>
        <v>7.81000857345677</v>
      </c>
      <c r="K93" s="46">
        <v>6.8</v>
      </c>
      <c r="L93" s="47">
        <v>44463.375</v>
      </c>
      <c r="M93" s="46">
        <v>40</v>
      </c>
      <c r="S93" s="13" t="s">
        <v>341</v>
      </c>
      <c r="T93" s="13" t="str">
        <f>_xlfn.DISPIMG("ID_4EAD7450AB2C47E09A8A6BFF0FD5F2B4",1)</f>
        <v>=DISPIMG("ID_4EAD7450AB2C47E09A8A6BFF0FD5F2B4",1)</v>
      </c>
      <c r="U93" s="13" t="s">
        <v>39</v>
      </c>
      <c r="V93" s="60" t="s">
        <v>40</v>
      </c>
    </row>
    <row r="94" customHeight="1" spans="1:23">
      <c r="A94" s="52" t="s">
        <v>1517</v>
      </c>
      <c r="B94" s="45">
        <v>15396581.05</v>
      </c>
      <c r="H94" s="45">
        <v>14498344.51</v>
      </c>
      <c r="I94" s="59">
        <f t="shared" si="5"/>
        <v>5.83400001002171</v>
      </c>
      <c r="K94" s="46">
        <v>7.6</v>
      </c>
      <c r="L94" s="47">
        <v>44463.3958333333</v>
      </c>
      <c r="M94" s="46">
        <v>73</v>
      </c>
      <c r="S94" s="13" t="s">
        <v>343</v>
      </c>
      <c r="T94" s="13" t="str">
        <f>_xlfn.DISPIMG("ID_A7C8554973CD403FAE9FF1334A4E7093",1)</f>
        <v>=DISPIMG("ID_A7C8554973CD403FAE9FF1334A4E7093",1)</v>
      </c>
      <c r="U94" s="13" t="s">
        <v>26</v>
      </c>
      <c r="V94" s="62" t="s">
        <v>59</v>
      </c>
      <c r="W94" s="49" t="s">
        <v>344</v>
      </c>
    </row>
    <row r="95" customHeight="1" spans="1:22">
      <c r="A95" s="52" t="s">
        <v>1518</v>
      </c>
      <c r="B95" s="45">
        <v>5085887.12</v>
      </c>
      <c r="D95" s="45">
        <v>0.3</v>
      </c>
      <c r="H95" s="45">
        <v>4766675.78</v>
      </c>
      <c r="I95" s="46">
        <f t="shared" si="5"/>
        <v>6.27641417255836</v>
      </c>
      <c r="K95" s="46">
        <v>7.2</v>
      </c>
      <c r="L95" s="47">
        <v>44447.7291666667</v>
      </c>
      <c r="M95" s="46">
        <v>28</v>
      </c>
      <c r="S95" s="13" t="s">
        <v>305</v>
      </c>
      <c r="T95" s="13" t="str">
        <f>_xlfn.DISPIMG("ID_7E30A0C72CA24E35A1D573081A7F242E",1)</f>
        <v>=DISPIMG("ID_7E30A0C72CA24E35A1D573081A7F242E",1)</v>
      </c>
      <c r="U95" s="13" t="s">
        <v>189</v>
      </c>
      <c r="V95" s="60" t="s">
        <v>40</v>
      </c>
    </row>
    <row r="96" customHeight="1" spans="1:22">
      <c r="A96" s="52" t="s">
        <v>1519</v>
      </c>
      <c r="B96" s="45">
        <v>5639101.17</v>
      </c>
      <c r="D96" s="45">
        <v>0.3</v>
      </c>
      <c r="H96" s="45">
        <v>5285247.58</v>
      </c>
      <c r="I96" s="46">
        <f t="shared" si="5"/>
        <v>6.27499985072976</v>
      </c>
      <c r="K96" s="46">
        <v>6.8</v>
      </c>
      <c r="L96" s="47">
        <v>44463.4583333333</v>
      </c>
      <c r="M96" s="46">
        <v>29</v>
      </c>
      <c r="S96" s="13" t="s">
        <v>348</v>
      </c>
      <c r="T96" s="13" t="str">
        <f>_xlfn.DISPIMG("ID_7E30A0C72CA24E35A1D573081A7F242E",1)</f>
        <v>=DISPIMG("ID_7E30A0C72CA24E35A1D573081A7F242E",1)</v>
      </c>
      <c r="U96" s="13" t="s">
        <v>189</v>
      </c>
      <c r="V96" s="60" t="s">
        <v>40</v>
      </c>
    </row>
    <row r="97" customHeight="1" spans="1:22">
      <c r="A97" s="52" t="s">
        <v>1520</v>
      </c>
      <c r="B97" s="45">
        <v>5947688.56</v>
      </c>
      <c r="D97" s="45">
        <v>0.1</v>
      </c>
      <c r="H97" s="45">
        <v>5505180</v>
      </c>
      <c r="I97" s="46">
        <f t="shared" si="5"/>
        <v>7.44000893012461</v>
      </c>
      <c r="K97" s="46">
        <v>7.3</v>
      </c>
      <c r="L97" s="47">
        <v>44463.3958333333</v>
      </c>
      <c r="M97" s="46">
        <v>28</v>
      </c>
      <c r="S97" s="13" t="s">
        <v>346</v>
      </c>
      <c r="T97" s="13" t="str">
        <f>_xlfn.DISPIMG("ID_7E30A0C72CA24E35A1D573081A7F242E",1)</f>
        <v>=DISPIMG("ID_7E30A0C72CA24E35A1D573081A7F242E",1)</v>
      </c>
      <c r="U97" s="13" t="s">
        <v>189</v>
      </c>
      <c r="V97" s="60" t="s">
        <v>40</v>
      </c>
    </row>
    <row r="98" customHeight="1" spans="1:23">
      <c r="A98" s="52" t="s">
        <v>1521</v>
      </c>
      <c r="B98" s="45">
        <v>5532668</v>
      </c>
      <c r="D98" s="45">
        <v>101.6</v>
      </c>
      <c r="F98" s="46">
        <f>100-100*G98</f>
        <v>10.6635647369094</v>
      </c>
      <c r="G98" s="46">
        <f>(100-I98)/D98</f>
        <v>0.893364352630907</v>
      </c>
      <c r="H98" s="45">
        <v>5021771.38</v>
      </c>
      <c r="I98" s="46">
        <f t="shared" si="5"/>
        <v>9.2341817726999</v>
      </c>
      <c r="K98" s="46">
        <v>6.7</v>
      </c>
      <c r="L98" s="47">
        <v>44463.375</v>
      </c>
      <c r="M98" s="46">
        <v>179</v>
      </c>
      <c r="S98" s="13" t="s">
        <v>338</v>
      </c>
      <c r="T98" s="13" t="str">
        <f>_xlfn.DISPIMG("ID_B45AC5B0931F41358AA01BD5585B5788",1)</f>
        <v>=DISPIMG("ID_B45AC5B0931F41358AA01BD5585B5788",1)</v>
      </c>
      <c r="U98" s="13" t="s">
        <v>119</v>
      </c>
      <c r="V98" s="60" t="s">
        <v>120</v>
      </c>
      <c r="W98" s="49" t="s">
        <v>339</v>
      </c>
    </row>
    <row r="99" customHeight="1" spans="1:22">
      <c r="A99" s="52" t="s">
        <v>1522</v>
      </c>
      <c r="B99" s="45">
        <v>5046893.65</v>
      </c>
      <c r="D99" s="45">
        <v>0.2</v>
      </c>
      <c r="H99" s="45">
        <v>4751145.68</v>
      </c>
      <c r="I99" s="46">
        <f t="shared" si="5"/>
        <v>5.86000004180791</v>
      </c>
      <c r="K99" s="46">
        <v>6.3</v>
      </c>
      <c r="L99" s="47">
        <v>44466.375</v>
      </c>
      <c r="M99" s="46">
        <v>47</v>
      </c>
      <c r="S99" s="13" t="s">
        <v>350</v>
      </c>
      <c r="T99" s="13" t="str">
        <f t="shared" ref="T99:T108" si="8">_xlfn.DISPIMG("ID_7E30A0C72CA24E35A1D573081A7F242E",1)</f>
        <v>=DISPIMG("ID_7E30A0C72CA24E35A1D573081A7F242E",1)</v>
      </c>
      <c r="U99" s="13" t="s">
        <v>189</v>
      </c>
      <c r="V99" s="60" t="s">
        <v>40</v>
      </c>
    </row>
    <row r="100" customHeight="1" spans="1:22">
      <c r="A100" s="52" t="s">
        <v>1523</v>
      </c>
      <c r="B100" s="45">
        <v>4323450.85</v>
      </c>
      <c r="D100" s="45">
        <v>0.1</v>
      </c>
      <c r="H100" s="45">
        <v>3951201.73</v>
      </c>
      <c r="I100" s="46">
        <f t="shared" si="5"/>
        <v>8.61000004198034</v>
      </c>
      <c r="K100" s="46">
        <v>7.83</v>
      </c>
      <c r="L100" s="47">
        <v>44468.375</v>
      </c>
      <c r="M100" s="46">
        <v>86</v>
      </c>
      <c r="S100" s="13" t="s">
        <v>366</v>
      </c>
      <c r="T100" s="13" t="str">
        <f t="shared" si="8"/>
        <v>=DISPIMG("ID_7E30A0C72CA24E35A1D573081A7F242E",1)</v>
      </c>
      <c r="U100" s="13" t="s">
        <v>189</v>
      </c>
      <c r="V100" s="60" t="s">
        <v>40</v>
      </c>
    </row>
    <row r="101" customHeight="1" spans="1:22">
      <c r="A101" s="52" t="s">
        <v>1524</v>
      </c>
      <c r="B101" s="45">
        <v>8271311.6</v>
      </c>
      <c r="D101" s="45">
        <v>0.1</v>
      </c>
      <c r="H101" s="45">
        <v>7474784.29</v>
      </c>
      <c r="I101" s="46">
        <f t="shared" si="5"/>
        <v>9.63000003530274</v>
      </c>
      <c r="K101" s="46">
        <v>8.2</v>
      </c>
      <c r="L101" s="47">
        <v>44468.375</v>
      </c>
      <c r="M101" s="46">
        <v>96</v>
      </c>
      <c r="S101" s="13" t="s">
        <v>364</v>
      </c>
      <c r="T101" s="13" t="str">
        <f t="shared" si="8"/>
        <v>=DISPIMG("ID_7E30A0C72CA24E35A1D573081A7F242E",1)</v>
      </c>
      <c r="U101" s="13" t="s">
        <v>189</v>
      </c>
      <c r="V101" s="60" t="s">
        <v>40</v>
      </c>
    </row>
    <row r="102" customHeight="1" spans="1:22">
      <c r="A102" s="52" t="s">
        <v>1525</v>
      </c>
      <c r="B102" s="45">
        <v>8731915.02</v>
      </c>
      <c r="D102" s="45">
        <v>0.2</v>
      </c>
      <c r="H102" s="45">
        <v>8221010.67</v>
      </c>
      <c r="I102" s="46">
        <f t="shared" si="5"/>
        <v>5.8510000249636</v>
      </c>
      <c r="K102" s="46">
        <v>9.3</v>
      </c>
      <c r="L102" s="47">
        <v>44467.375</v>
      </c>
      <c r="M102" s="46">
        <v>56</v>
      </c>
      <c r="S102" s="13" t="s">
        <v>356</v>
      </c>
      <c r="T102" s="13" t="str">
        <f t="shared" si="8"/>
        <v>=DISPIMG("ID_7E30A0C72CA24E35A1D573081A7F242E",1)</v>
      </c>
      <c r="U102" s="13" t="s">
        <v>189</v>
      </c>
      <c r="V102" s="60" t="s">
        <v>40</v>
      </c>
    </row>
    <row r="103" customHeight="1" spans="1:22">
      <c r="A103" s="52" t="s">
        <v>1526</v>
      </c>
      <c r="B103" s="45">
        <v>7555469.05</v>
      </c>
      <c r="D103" s="45">
        <v>0.2</v>
      </c>
      <c r="H103" s="45">
        <v>7131591.36</v>
      </c>
      <c r="I103" s="46">
        <f t="shared" si="5"/>
        <v>5.61021012983966</v>
      </c>
      <c r="K103" s="46">
        <v>8.6</v>
      </c>
      <c r="L103" s="47">
        <v>44466.4166666667</v>
      </c>
      <c r="M103" s="46">
        <v>80</v>
      </c>
      <c r="S103" s="13" t="s">
        <v>354</v>
      </c>
      <c r="T103" s="13" t="str">
        <f t="shared" si="8"/>
        <v>=DISPIMG("ID_7E30A0C72CA24E35A1D573081A7F242E",1)</v>
      </c>
      <c r="U103" s="13" t="s">
        <v>189</v>
      </c>
      <c r="V103" s="60" t="s">
        <v>40</v>
      </c>
    </row>
    <row r="104" customHeight="1" spans="1:22">
      <c r="A104" s="52" t="s">
        <v>1527</v>
      </c>
      <c r="B104" s="45">
        <v>9117016.43</v>
      </c>
      <c r="D104" s="45">
        <v>0.1</v>
      </c>
      <c r="H104" s="45">
        <v>8615580.53</v>
      </c>
      <c r="I104" s="46">
        <f t="shared" si="5"/>
        <v>5.49999995996498</v>
      </c>
      <c r="K104" s="46">
        <v>5.8</v>
      </c>
      <c r="L104" s="47">
        <v>44466.3958333333</v>
      </c>
      <c r="M104" s="46">
        <v>82</v>
      </c>
      <c r="S104" s="13" t="s">
        <v>352</v>
      </c>
      <c r="T104" s="13" t="str">
        <f t="shared" si="8"/>
        <v>=DISPIMG("ID_7E30A0C72CA24E35A1D573081A7F242E",1)</v>
      </c>
      <c r="U104" s="13" t="s">
        <v>189</v>
      </c>
      <c r="V104" s="60" t="s">
        <v>40</v>
      </c>
    </row>
    <row r="105" customHeight="1" spans="1:22">
      <c r="A105" s="52" t="s">
        <v>1528</v>
      </c>
      <c r="B105" s="45">
        <v>4934331.63</v>
      </c>
      <c r="D105" s="45">
        <v>0.2</v>
      </c>
      <c r="H105" s="45">
        <v>4646166.66</v>
      </c>
      <c r="I105" s="46">
        <f t="shared" si="5"/>
        <v>5.8400000569074</v>
      </c>
      <c r="K105" s="46">
        <v>5.7</v>
      </c>
      <c r="L105" s="47">
        <v>44467.375</v>
      </c>
      <c r="M105" s="46">
        <v>40</v>
      </c>
      <c r="S105" s="13" t="s">
        <v>358</v>
      </c>
      <c r="T105" s="13" t="str">
        <f t="shared" si="8"/>
        <v>=DISPIMG("ID_7E30A0C72CA24E35A1D573081A7F242E",1)</v>
      </c>
      <c r="U105" s="13" t="s">
        <v>189</v>
      </c>
      <c r="V105" s="60" t="s">
        <v>40</v>
      </c>
    </row>
    <row r="106" customHeight="1" spans="1:22">
      <c r="A106" s="52" t="s">
        <v>1529</v>
      </c>
      <c r="B106" s="45">
        <v>11080865.29</v>
      </c>
      <c r="D106" s="45">
        <v>0.2</v>
      </c>
      <c r="H106" s="45">
        <v>10464990.33</v>
      </c>
      <c r="I106" s="46">
        <f t="shared" si="5"/>
        <v>5.55800421611298</v>
      </c>
      <c r="K106" s="46">
        <v>6.6</v>
      </c>
      <c r="L106" s="47">
        <v>44467.3958333333</v>
      </c>
      <c r="M106" s="46">
        <v>60</v>
      </c>
      <c r="S106" s="13" t="s">
        <v>360</v>
      </c>
      <c r="T106" s="13" t="str">
        <f t="shared" si="8"/>
        <v>=DISPIMG("ID_7E30A0C72CA24E35A1D573081A7F242E",1)</v>
      </c>
      <c r="U106" s="13" t="s">
        <v>189</v>
      </c>
      <c r="V106" s="60" t="s">
        <v>40</v>
      </c>
    </row>
    <row r="107" customHeight="1" spans="1:22">
      <c r="A107" s="52" t="s">
        <v>1530</v>
      </c>
      <c r="B107" s="45">
        <v>5625139.52</v>
      </c>
      <c r="D107" s="45">
        <v>0.1</v>
      </c>
      <c r="H107" s="45">
        <v>5271880.76</v>
      </c>
      <c r="I107" s="46">
        <f t="shared" si="5"/>
        <v>6.27999996700525</v>
      </c>
      <c r="K107" s="46">
        <v>5.76</v>
      </c>
      <c r="L107" s="47">
        <v>44467.4166666667</v>
      </c>
      <c r="M107" s="46">
        <v>56</v>
      </c>
      <c r="S107" s="13" t="s">
        <v>362</v>
      </c>
      <c r="T107" s="13" t="str">
        <f t="shared" si="8"/>
        <v>=DISPIMG("ID_7E30A0C72CA24E35A1D573081A7F242E",1)</v>
      </c>
      <c r="U107" s="13" t="s">
        <v>189</v>
      </c>
      <c r="V107" s="60" t="s">
        <v>40</v>
      </c>
    </row>
    <row r="108" customHeight="1" spans="1:22">
      <c r="A108" s="52" t="s">
        <v>1531</v>
      </c>
      <c r="B108" s="45">
        <v>6632729.46</v>
      </c>
      <c r="D108" s="45">
        <v>0.3</v>
      </c>
      <c r="H108" s="45">
        <v>6343323.72</v>
      </c>
      <c r="I108" s="46">
        <f t="shared" si="5"/>
        <v>4.36329782098484</v>
      </c>
      <c r="K108" s="46">
        <v>6.8</v>
      </c>
      <c r="L108" s="47">
        <v>44457.375</v>
      </c>
      <c r="M108" s="46">
        <v>77</v>
      </c>
      <c r="S108" s="13" t="s">
        <v>326</v>
      </c>
      <c r="T108" s="13" t="str">
        <f t="shared" si="8"/>
        <v>=DISPIMG("ID_7E30A0C72CA24E35A1D573081A7F242E",1)</v>
      </c>
      <c r="U108" s="13" t="s">
        <v>189</v>
      </c>
      <c r="V108" s="60" t="s">
        <v>40</v>
      </c>
    </row>
    <row r="109" customHeight="1" spans="1:23">
      <c r="A109" s="52" t="s">
        <v>1532</v>
      </c>
      <c r="B109" s="45">
        <v>4604291.62</v>
      </c>
      <c r="D109" s="45">
        <v>98.8</v>
      </c>
      <c r="F109" s="46">
        <f>100-100*G109</f>
        <v>7.15895226089827</v>
      </c>
      <c r="G109" s="46">
        <f>(100-I109)/D109</f>
        <v>0.928410477391017</v>
      </c>
      <c r="H109" s="45">
        <v>4223376.51</v>
      </c>
      <c r="I109" s="46">
        <f t="shared" si="5"/>
        <v>8.2730448337675</v>
      </c>
      <c r="K109" s="46">
        <v>6.2</v>
      </c>
      <c r="L109" s="47">
        <v>44468.3958333333</v>
      </c>
      <c r="M109" s="46">
        <v>373</v>
      </c>
      <c r="S109" s="13" t="s">
        <v>368</v>
      </c>
      <c r="T109" s="13" t="str">
        <f>_xlfn.DISPIMG("ID_B45AC5B0931F41358AA01BD5585B5788",1)</f>
        <v>=DISPIMG("ID_B45AC5B0931F41358AA01BD5585B5788",1)</v>
      </c>
      <c r="U109" s="13" t="s">
        <v>119</v>
      </c>
      <c r="V109" s="60" t="s">
        <v>120</v>
      </c>
      <c r="W109" s="49" t="s">
        <v>369</v>
      </c>
    </row>
    <row r="110" customHeight="1" spans="1:23">
      <c r="A110" s="52" t="s">
        <v>1533</v>
      </c>
      <c r="B110" s="45">
        <v>4214252.6</v>
      </c>
      <c r="D110" s="45">
        <v>98</v>
      </c>
      <c r="E110" s="46">
        <v>13</v>
      </c>
      <c r="H110" s="45">
        <v>3736651.35</v>
      </c>
      <c r="I110" s="59">
        <f t="shared" si="5"/>
        <v>11.3330000674378</v>
      </c>
      <c r="K110" s="46">
        <v>6.7</v>
      </c>
      <c r="L110" s="47">
        <v>44478.375</v>
      </c>
      <c r="M110" s="46">
        <v>47</v>
      </c>
      <c r="S110" s="13" t="s">
        <v>371</v>
      </c>
      <c r="T110" s="13" t="str">
        <f>_xlfn.DISPIMG("ID_A7C8554973CD403FAE9FF1334A4E7093",1)</f>
        <v>=DISPIMG("ID_A7C8554973CD403FAE9FF1334A4E7093",1)</v>
      </c>
      <c r="U110" s="13" t="s">
        <v>26</v>
      </c>
      <c r="V110" s="48" t="s">
        <v>372</v>
      </c>
      <c r="W110" s="49" t="s">
        <v>373</v>
      </c>
    </row>
    <row r="111" customHeight="1" spans="1:23">
      <c r="A111" s="52" t="s">
        <v>1534</v>
      </c>
      <c r="B111" s="45">
        <v>4631248.71</v>
      </c>
      <c r="D111" s="45">
        <v>101.6</v>
      </c>
      <c r="E111" s="46">
        <v>18</v>
      </c>
      <c r="H111" s="45">
        <v>4266352.62</v>
      </c>
      <c r="I111" s="59">
        <f t="shared" si="5"/>
        <v>7.87900008937331</v>
      </c>
      <c r="K111" s="46">
        <v>9.6</v>
      </c>
      <c r="L111" s="47">
        <v>44478.3958333333</v>
      </c>
      <c r="M111" s="46">
        <v>78</v>
      </c>
      <c r="S111" s="61" t="s">
        <v>375</v>
      </c>
      <c r="T111" s="13" t="str">
        <f>_xlfn.DISPIMG("ID_A7C8554973CD403FAE9FF1334A4E7093",1)</f>
        <v>=DISPIMG("ID_A7C8554973CD403FAE9FF1334A4E7093",1)</v>
      </c>
      <c r="U111" s="13" t="s">
        <v>26</v>
      </c>
      <c r="V111" s="62" t="s">
        <v>29</v>
      </c>
      <c r="W111" s="49" t="s">
        <v>376</v>
      </c>
    </row>
    <row r="112" customHeight="1" spans="1:23">
      <c r="A112" s="52" t="s">
        <v>1535</v>
      </c>
      <c r="B112" s="45">
        <v>4332160.12</v>
      </c>
      <c r="D112" s="45">
        <v>98.8</v>
      </c>
      <c r="E112" s="46">
        <v>15</v>
      </c>
      <c r="H112" s="45">
        <v>4093891.2</v>
      </c>
      <c r="I112" s="59">
        <f t="shared" si="5"/>
        <v>5.50000261763178</v>
      </c>
      <c r="K112" s="46">
        <v>3.6</v>
      </c>
      <c r="L112" s="47">
        <v>44481.375</v>
      </c>
      <c r="M112" s="46">
        <v>5</v>
      </c>
      <c r="S112" s="13" t="s">
        <v>378</v>
      </c>
      <c r="T112" s="13" t="str">
        <f t="shared" ref="T110:T112" si="9">_xlfn.DISPIMG("ID_A7C8554973CD403FAE9FF1334A4E7093",1)</f>
        <v>=DISPIMG("ID_A7C8554973CD403FAE9FF1334A4E7093",1)</v>
      </c>
      <c r="U112" s="13" t="s">
        <v>26</v>
      </c>
      <c r="V112" s="60" t="s">
        <v>379</v>
      </c>
      <c r="W112" s="49" t="s">
        <v>380</v>
      </c>
    </row>
    <row r="113" customHeight="1" spans="1:23">
      <c r="A113" s="52" t="s">
        <v>1536</v>
      </c>
      <c r="B113" s="45">
        <v>7327512.88</v>
      </c>
      <c r="D113" s="45">
        <v>0.15</v>
      </c>
      <c r="H113" s="45">
        <v>6651044.22</v>
      </c>
      <c r="I113" s="46">
        <f t="shared" si="5"/>
        <v>9.23189997859137</v>
      </c>
      <c r="K113" s="46">
        <v>11.6</v>
      </c>
      <c r="L113" s="47">
        <v>44482.375</v>
      </c>
      <c r="M113" s="46">
        <v>153</v>
      </c>
      <c r="S113" s="13" t="s">
        <v>392</v>
      </c>
      <c r="T113" s="13" t="str">
        <f>_xlfn.DISPIMG("ID_AA4ECC37B202408595BE57BD61A10198",1)</f>
        <v>=DISPIMG("ID_AA4ECC37B202408595BE57BD61A10198",1)</v>
      </c>
      <c r="U113" s="13" t="s">
        <v>393</v>
      </c>
      <c r="V113" s="62" t="s">
        <v>29</v>
      </c>
      <c r="W113" s="49" t="s">
        <v>394</v>
      </c>
    </row>
    <row r="114" customHeight="1" spans="1:23">
      <c r="A114" s="49" t="s">
        <v>1537</v>
      </c>
      <c r="B114" s="45">
        <v>9191266.47</v>
      </c>
      <c r="C114" s="45">
        <v>7753458.14</v>
      </c>
      <c r="D114" s="45">
        <v>0.2</v>
      </c>
      <c r="H114" s="45">
        <v>8588419.16</v>
      </c>
      <c r="I114" s="46">
        <f t="shared" si="5"/>
        <v>6.55891450832891</v>
      </c>
      <c r="K114" s="46">
        <v>7.3</v>
      </c>
      <c r="L114" s="47">
        <v>44481.375</v>
      </c>
      <c r="S114" s="13" t="s">
        <v>382</v>
      </c>
      <c r="T114" s="13" t="str">
        <f>_xlfn.DISPIMG("ID_AB9CC0FC36584B33ABE1470B59C3303E",1)</f>
        <v>=DISPIMG("ID_AB9CC0FC36584B33ABE1470B59C3303E",1)</v>
      </c>
      <c r="U114" s="13" t="s">
        <v>383</v>
      </c>
      <c r="V114" s="60" t="s">
        <v>40</v>
      </c>
      <c r="W114" s="49" t="s">
        <v>384</v>
      </c>
    </row>
    <row r="115" customHeight="1" spans="1:23">
      <c r="A115" s="49" t="s">
        <v>1538</v>
      </c>
      <c r="B115" s="45">
        <v>8280497.53</v>
      </c>
      <c r="C115" s="45">
        <v>6918817.61</v>
      </c>
      <c r="D115" s="45">
        <v>0.2</v>
      </c>
      <c r="H115" s="45">
        <v>7671280</v>
      </c>
      <c r="I115" s="46">
        <f t="shared" si="5"/>
        <v>7.35725755358085</v>
      </c>
      <c r="K115" s="46">
        <v>6.8</v>
      </c>
      <c r="L115" s="47">
        <v>44481.375</v>
      </c>
      <c r="S115" s="64" t="s">
        <v>386</v>
      </c>
      <c r="T115" s="13" t="str">
        <f>_xlfn.DISPIMG("ID_AB9CC0FC36584B33ABE1470B59C3303E",1)</f>
        <v>=DISPIMG("ID_AB9CC0FC36584B33ABE1470B59C3303E",1)</v>
      </c>
      <c r="U115" s="13" t="s">
        <v>383</v>
      </c>
      <c r="V115" s="60" t="s">
        <v>40</v>
      </c>
      <c r="W115" s="49" t="s">
        <v>384</v>
      </c>
    </row>
    <row r="116" customHeight="1" spans="1:23">
      <c r="A116" s="49" t="s">
        <v>1539</v>
      </c>
      <c r="B116" s="45">
        <v>8474700.67</v>
      </c>
      <c r="C116" s="45">
        <v>7160789.28</v>
      </c>
      <c r="D116" s="45">
        <v>0.3</v>
      </c>
      <c r="H116" s="45">
        <v>7930194.06</v>
      </c>
      <c r="I116" s="46">
        <f t="shared" si="5"/>
        <v>6.4250836838111</v>
      </c>
      <c r="K116" s="46">
        <v>6.9</v>
      </c>
      <c r="L116" s="47">
        <v>44481.375</v>
      </c>
      <c r="S116" s="13" t="s">
        <v>388</v>
      </c>
      <c r="T116" s="13" t="str">
        <f>_xlfn.DISPIMG("ID_AB9CC0FC36584B33ABE1470B59C3303E",1)</f>
        <v>=DISPIMG("ID_AB9CC0FC36584B33ABE1470B59C3303E",1)</v>
      </c>
      <c r="U116" s="13" t="s">
        <v>383</v>
      </c>
      <c r="V116" s="60" t="s">
        <v>40</v>
      </c>
      <c r="W116" s="49" t="s">
        <v>384</v>
      </c>
    </row>
    <row r="117" customHeight="1" spans="1:23">
      <c r="A117" s="49" t="s">
        <v>1540</v>
      </c>
      <c r="B117" s="45">
        <v>9111493.01</v>
      </c>
      <c r="C117" s="45">
        <v>7670882.12</v>
      </c>
      <c r="D117" s="45">
        <v>0.1</v>
      </c>
      <c r="H117" s="45">
        <v>8491372.25</v>
      </c>
      <c r="I117" s="46">
        <f t="shared" si="5"/>
        <v>6.80591818837382</v>
      </c>
      <c r="K117" s="46">
        <v>6.8</v>
      </c>
      <c r="L117" s="47">
        <v>44481.375</v>
      </c>
      <c r="S117" s="13" t="s">
        <v>390</v>
      </c>
      <c r="T117" s="13" t="str">
        <f>_xlfn.DISPIMG("ID_AB9CC0FC36584B33ABE1470B59C3303E",1)</f>
        <v>=DISPIMG("ID_AB9CC0FC36584B33ABE1470B59C3303E",1)</v>
      </c>
      <c r="U117" s="13" t="s">
        <v>383</v>
      </c>
      <c r="V117" s="60" t="s">
        <v>40</v>
      </c>
      <c r="W117" s="49" t="s">
        <v>384</v>
      </c>
    </row>
    <row r="118" customHeight="1" spans="1:22">
      <c r="A118" s="52" t="s">
        <v>1541</v>
      </c>
      <c r="B118" s="45">
        <v>8796503.32</v>
      </c>
      <c r="D118" s="45">
        <v>98.5</v>
      </c>
      <c r="H118" s="45">
        <v>7652957.89</v>
      </c>
      <c r="I118" s="46">
        <f t="shared" si="5"/>
        <v>12.999999981811</v>
      </c>
      <c r="K118" s="46">
        <v>5.8</v>
      </c>
      <c r="L118" s="47">
        <v>44483.375</v>
      </c>
      <c r="M118" s="46">
        <v>32</v>
      </c>
      <c r="S118" s="13" t="s">
        <v>396</v>
      </c>
      <c r="T118" s="13" t="str">
        <f>_xlfn.DISPIMG("ID_A5C5C48DA77F4825959FA26444F402F2",1)</f>
        <v>=DISPIMG("ID_A5C5C48DA77F4825959FA26444F402F2",1)</v>
      </c>
      <c r="U118" s="13" t="s">
        <v>162</v>
      </c>
      <c r="V118" s="62" t="s">
        <v>120</v>
      </c>
    </row>
    <row r="119" customHeight="1" spans="1:22">
      <c r="A119" s="52" t="s">
        <v>1542</v>
      </c>
      <c r="B119" s="45">
        <v>6315262.76</v>
      </c>
      <c r="D119" s="45">
        <v>99.6</v>
      </c>
      <c r="E119" s="46">
        <v>19</v>
      </c>
      <c r="H119" s="45">
        <v>5888256.21</v>
      </c>
      <c r="I119" s="59">
        <f t="shared" si="5"/>
        <v>6.76150092605172</v>
      </c>
      <c r="K119" s="46">
        <v>9.9</v>
      </c>
      <c r="L119" s="47">
        <v>44484.375</v>
      </c>
      <c r="M119" s="46">
        <v>53</v>
      </c>
      <c r="S119" s="13" t="s">
        <v>398</v>
      </c>
      <c r="T119" s="13" t="str">
        <f t="shared" ref="T119:T123" si="10">_xlfn.DISPIMG("ID_A7C8554973CD403FAE9FF1334A4E7093",1)</f>
        <v>=DISPIMG("ID_A7C8554973CD403FAE9FF1334A4E7093",1)</v>
      </c>
      <c r="U119" s="13" t="s">
        <v>26</v>
      </c>
      <c r="V119" s="48" t="s">
        <v>399</v>
      </c>
    </row>
    <row r="120" customHeight="1" spans="1:23">
      <c r="A120" s="53" t="s">
        <v>1543</v>
      </c>
      <c r="B120" s="45">
        <v>2609859</v>
      </c>
      <c r="D120" s="45">
        <v>99.6</v>
      </c>
      <c r="F120" s="46">
        <f>100-100*G120</f>
        <v>3.32971964967483</v>
      </c>
      <c r="G120" s="46">
        <f>(100-I120)/D120</f>
        <v>0.966702803503252</v>
      </c>
      <c r="H120" s="45">
        <v>2512866.18</v>
      </c>
      <c r="I120" s="46">
        <f t="shared" si="5"/>
        <v>3.71640077107612</v>
      </c>
      <c r="K120" s="46">
        <v>8.6</v>
      </c>
      <c r="L120" s="47">
        <v>44488.375</v>
      </c>
      <c r="M120" s="46">
        <v>7</v>
      </c>
      <c r="S120" s="13" t="s">
        <v>401</v>
      </c>
      <c r="T120" s="13" t="str">
        <f>_xlfn.DISPIMG("ID_B45AC5B0931F41358AA01BD5585B5788",1)</f>
        <v>=DISPIMG("ID_B45AC5B0931F41358AA01BD5585B5788",1)</v>
      </c>
      <c r="U120" s="13" t="s">
        <v>119</v>
      </c>
      <c r="V120" s="48" t="s">
        <v>1544</v>
      </c>
      <c r="W120" s="49" t="s">
        <v>403</v>
      </c>
    </row>
    <row r="121" customHeight="1" spans="1:23">
      <c r="A121" s="52" t="s">
        <v>1545</v>
      </c>
      <c r="B121" s="45">
        <v>8836135.71</v>
      </c>
      <c r="D121" s="45">
        <v>0.2</v>
      </c>
      <c r="H121" s="45">
        <v>8564943</v>
      </c>
      <c r="I121" s="46">
        <f t="shared" si="5"/>
        <v>3.06913246808882</v>
      </c>
      <c r="K121" s="46">
        <v>7.8</v>
      </c>
      <c r="L121" s="47">
        <v>44491.3958333333</v>
      </c>
      <c r="M121" s="46">
        <v>35</v>
      </c>
      <c r="S121" s="13" t="s">
        <v>411</v>
      </c>
      <c r="T121" s="13" t="str">
        <f>_xlfn.DISPIMG("ID_7E30A0C72CA24E35A1D573081A7F242E",1)</f>
        <v>=DISPIMG("ID_7E30A0C72CA24E35A1D573081A7F242E",1)</v>
      </c>
      <c r="U121" s="13" t="s">
        <v>189</v>
      </c>
      <c r="V121" s="60" t="s">
        <v>40</v>
      </c>
      <c r="W121" s="49" t="s">
        <v>412</v>
      </c>
    </row>
    <row r="122" customHeight="1" spans="1:23">
      <c r="A122" s="52" t="s">
        <v>1546</v>
      </c>
      <c r="B122" s="45">
        <v>4688207.44</v>
      </c>
      <c r="D122" s="45">
        <v>98.4</v>
      </c>
      <c r="E122" s="46">
        <v>11</v>
      </c>
      <c r="H122" s="45">
        <v>4551171</v>
      </c>
      <c r="I122" s="59">
        <f t="shared" si="5"/>
        <v>2.92300291217491</v>
      </c>
      <c r="K122" s="46">
        <v>11.3</v>
      </c>
      <c r="L122" s="47">
        <v>44488.375</v>
      </c>
      <c r="S122" s="13" t="s">
        <v>405</v>
      </c>
      <c r="T122" s="13" t="str">
        <f t="shared" si="10"/>
        <v>=DISPIMG("ID_A7C8554973CD403FAE9FF1334A4E7093",1)</v>
      </c>
      <c r="U122" s="13" t="s">
        <v>26</v>
      </c>
      <c r="V122" s="48" t="s">
        <v>406</v>
      </c>
      <c r="W122" s="49" t="s">
        <v>407</v>
      </c>
    </row>
    <row r="123" customHeight="1" spans="1:22">
      <c r="A123" s="52" t="s">
        <v>1547</v>
      </c>
      <c r="B123" s="45">
        <v>3974138.58</v>
      </c>
      <c r="D123" s="45">
        <v>98.4</v>
      </c>
      <c r="E123" s="46">
        <v>15</v>
      </c>
      <c r="H123" s="45">
        <v>3733703.21</v>
      </c>
      <c r="I123" s="59">
        <f t="shared" si="5"/>
        <v>6.04999964545776</v>
      </c>
      <c r="K123" s="46">
        <v>6.7</v>
      </c>
      <c r="L123" s="47">
        <v>44490.3958333333</v>
      </c>
      <c r="S123" s="13" t="s">
        <v>409</v>
      </c>
      <c r="T123" s="13" t="str">
        <f t="shared" si="10"/>
        <v>=DISPIMG("ID_A7C8554973CD403FAE9FF1334A4E7093",1)</v>
      </c>
      <c r="U123" s="13" t="s">
        <v>26</v>
      </c>
      <c r="V123" s="60" t="s">
        <v>82</v>
      </c>
    </row>
    <row r="124" customHeight="1" spans="1:23">
      <c r="A124" s="52" t="s">
        <v>1548</v>
      </c>
      <c r="B124" s="45">
        <v>2033973.39</v>
      </c>
      <c r="D124" s="45">
        <v>0.3</v>
      </c>
      <c r="H124" s="45">
        <v>1954546.73</v>
      </c>
      <c r="I124" s="46">
        <f t="shared" si="5"/>
        <v>3.90499995675951</v>
      </c>
      <c r="K124" s="46">
        <v>7.6</v>
      </c>
      <c r="L124" s="47">
        <v>44510.375</v>
      </c>
      <c r="S124" s="13" t="s">
        <v>417</v>
      </c>
      <c r="T124" s="13" t="str">
        <f>_xlfn.DISPIMG("ID_2E203B325B204945B1936C111C59F975",1)</f>
        <v>=DISPIMG("ID_2E203B325B204945B1936C111C59F975",1)</v>
      </c>
      <c r="U124" s="13" t="s">
        <v>218</v>
      </c>
      <c r="V124" s="60" t="s">
        <v>40</v>
      </c>
      <c r="W124" s="49" t="s">
        <v>418</v>
      </c>
    </row>
    <row r="125" customHeight="1" spans="1:23">
      <c r="A125" s="52" t="s">
        <v>1549</v>
      </c>
      <c r="B125" s="45">
        <v>2165082.87</v>
      </c>
      <c r="D125" s="45">
        <v>0.1</v>
      </c>
      <c r="H125" s="45">
        <v>1987511.07</v>
      </c>
      <c r="I125" s="46">
        <f t="shared" si="5"/>
        <v>8.20161678153225</v>
      </c>
      <c r="K125" s="46">
        <v>7.3</v>
      </c>
      <c r="L125" s="47">
        <v>44509.375</v>
      </c>
      <c r="S125" s="13" t="s">
        <v>414</v>
      </c>
      <c r="T125" s="13" t="str">
        <f>_xlfn.DISPIMG("ID_2E203B325B204945B1936C111C59F975",1)</f>
        <v>=DISPIMG("ID_2E203B325B204945B1936C111C59F975",1)</v>
      </c>
      <c r="U125" s="13" t="s">
        <v>218</v>
      </c>
      <c r="V125" s="60" t="s">
        <v>40</v>
      </c>
      <c r="W125" s="49" t="s">
        <v>415</v>
      </c>
    </row>
    <row r="126" customHeight="1" spans="1:23">
      <c r="A126" s="55" t="s">
        <v>1550</v>
      </c>
      <c r="B126" s="45">
        <v>11761081.29</v>
      </c>
      <c r="D126" s="45">
        <f>AVERAGEA(O126:Q126)</f>
        <v>6.43333333333333</v>
      </c>
      <c r="E126" s="46">
        <f>R126</f>
        <v>0.1</v>
      </c>
      <c r="F126" s="63">
        <v>10784902.86</v>
      </c>
      <c r="H126" s="45">
        <v>10810881.13</v>
      </c>
      <c r="I126" s="46">
        <f t="shared" si="5"/>
        <v>8.07919048062288</v>
      </c>
      <c r="K126" s="46">
        <v>4.865</v>
      </c>
      <c r="L126" s="47">
        <v>44526.4583333333</v>
      </c>
      <c r="M126" s="46">
        <v>70</v>
      </c>
      <c r="N126" s="13">
        <v>3</v>
      </c>
      <c r="O126" s="13">
        <v>7</v>
      </c>
      <c r="P126" s="13">
        <v>3.3</v>
      </c>
      <c r="Q126" s="13">
        <v>9</v>
      </c>
      <c r="R126" s="13">
        <v>0.1</v>
      </c>
      <c r="S126" s="61" t="s">
        <v>425</v>
      </c>
      <c r="T126" s="13" t="str">
        <f>_xlfn.DISPIMG("ID_39A08211ED6A4076AB89912F4CD96E32",1)</f>
        <v>=DISPIMG("ID_39A08211ED6A4076AB89912F4CD96E32",1)</v>
      </c>
      <c r="U126" s="13" t="s">
        <v>426</v>
      </c>
      <c r="V126" s="48" t="s">
        <v>427</v>
      </c>
      <c r="W126" s="49" t="s">
        <v>428</v>
      </c>
    </row>
    <row r="127" customHeight="1" spans="1:22">
      <c r="A127" s="52" t="s">
        <v>1551</v>
      </c>
      <c r="B127" s="45">
        <v>5357091</v>
      </c>
      <c r="D127" s="45">
        <v>100.4</v>
      </c>
      <c r="F127" s="46">
        <f>100-100*G127</f>
        <v>10.0209164925115</v>
      </c>
      <c r="G127" s="46">
        <f>(100-I127)/D127</f>
        <v>0.899790835074885</v>
      </c>
      <c r="H127" s="45">
        <v>4839542.43</v>
      </c>
      <c r="I127" s="46">
        <f t="shared" si="5"/>
        <v>9.66100015848153</v>
      </c>
      <c r="K127" s="46">
        <v>7.6</v>
      </c>
      <c r="L127" s="47">
        <v>44525.375</v>
      </c>
      <c r="M127" s="46">
        <v>373</v>
      </c>
      <c r="S127" s="13" t="s">
        <v>423</v>
      </c>
      <c r="T127" s="13" t="str">
        <f>_xlfn.DISPIMG("ID_B45AC5B0931F41358AA01BD5585B5788",1)</f>
        <v>=DISPIMG("ID_B45AC5B0931F41358AA01BD5585B5788",1)</v>
      </c>
      <c r="U127" s="13" t="s">
        <v>119</v>
      </c>
      <c r="V127" s="60" t="s">
        <v>120</v>
      </c>
    </row>
    <row r="128" customHeight="1" spans="1:23">
      <c r="A128" s="52" t="s">
        <v>419</v>
      </c>
      <c r="B128" s="45">
        <v>6935895.78</v>
      </c>
      <c r="D128" s="45">
        <v>101.2</v>
      </c>
      <c r="E128" s="46">
        <v>14</v>
      </c>
      <c r="H128" s="45">
        <v>6589100.99</v>
      </c>
      <c r="I128" s="59">
        <f t="shared" si="5"/>
        <v>5.00000001441775</v>
      </c>
      <c r="K128" s="46">
        <v>9.8</v>
      </c>
      <c r="L128" s="47">
        <v>44516.375</v>
      </c>
      <c r="M128" s="46">
        <v>66</v>
      </c>
      <c r="S128" s="13" t="s">
        <v>420</v>
      </c>
      <c r="T128" s="13" t="str">
        <f>_xlfn.DISPIMG("ID_A7C8554973CD403FAE9FF1334A4E7093",1)</f>
        <v>=DISPIMG("ID_A7C8554973CD403FAE9FF1334A4E7093",1)</v>
      </c>
      <c r="U128" s="13" t="s">
        <v>26</v>
      </c>
      <c r="V128" s="60" t="s">
        <v>1552</v>
      </c>
      <c r="W128" s="49" t="s">
        <v>421</v>
      </c>
    </row>
    <row r="129" customHeight="1" spans="1:23">
      <c r="A129" s="52" t="s">
        <v>1553</v>
      </c>
      <c r="B129" s="45">
        <v>4667637.57</v>
      </c>
      <c r="D129" s="45">
        <v>0.3</v>
      </c>
      <c r="H129" s="45">
        <v>4520326.9</v>
      </c>
      <c r="I129" s="46">
        <f t="shared" si="5"/>
        <v>3.15600060610532</v>
      </c>
      <c r="K129" s="46">
        <v>5.23</v>
      </c>
      <c r="L129" s="47">
        <v>44532.375</v>
      </c>
      <c r="M129" s="46">
        <v>102</v>
      </c>
      <c r="S129" s="13" t="s">
        <v>430</v>
      </c>
      <c r="T129" s="13" t="str">
        <f>_xlfn.DISPIMG("ID_DA525B631F12498FBD4C0447472A2F2C",1)</f>
        <v>=DISPIMG("ID_DA525B631F12498FBD4C0447472A2F2C",1)</v>
      </c>
      <c r="U129" s="13" t="s">
        <v>225</v>
      </c>
      <c r="V129" s="60" t="s">
        <v>29</v>
      </c>
      <c r="W129" s="49" t="s">
        <v>431</v>
      </c>
    </row>
    <row r="130" customHeight="1" spans="1:23">
      <c r="A130" s="52" t="s">
        <v>1554</v>
      </c>
      <c r="B130" s="45">
        <v>72791674.83</v>
      </c>
      <c r="D130" s="45">
        <v>101.2</v>
      </c>
      <c r="E130" s="46">
        <v>18</v>
      </c>
      <c r="H130" s="45">
        <v>66968340.84</v>
      </c>
      <c r="I130" s="59">
        <f t="shared" ref="I130:I193" si="11">100-100*H130/B130</f>
        <v>8.00000000494562</v>
      </c>
      <c r="K130" s="46">
        <v>6.2</v>
      </c>
      <c r="L130" s="47">
        <v>44537.375</v>
      </c>
      <c r="M130" s="46">
        <v>73</v>
      </c>
      <c r="S130" s="13" t="s">
        <v>433</v>
      </c>
      <c r="T130" s="13" t="str">
        <f>_xlfn.DISPIMG("ID_A7C8554973CD403FAE9FF1334A4E7093",1)</f>
        <v>=DISPIMG("ID_A7C8554973CD403FAE9FF1334A4E7093",1)</v>
      </c>
      <c r="U130" s="13" t="s">
        <v>26</v>
      </c>
      <c r="V130" s="60" t="s">
        <v>59</v>
      </c>
      <c r="W130" s="49" t="s">
        <v>434</v>
      </c>
    </row>
    <row r="131" customHeight="1" spans="1:23">
      <c r="A131" s="56" t="s">
        <v>1555</v>
      </c>
      <c r="B131" s="45">
        <v>2458336.37</v>
      </c>
      <c r="D131" s="45">
        <f>AVERAGEA(O131:Q131)</f>
        <v>8.76666666666667</v>
      </c>
      <c r="H131" s="45">
        <v>2281336.15</v>
      </c>
      <c r="I131" s="46">
        <f t="shared" si="11"/>
        <v>7.20000005532196</v>
      </c>
      <c r="K131" s="46">
        <v>8.785</v>
      </c>
      <c r="L131" s="47">
        <v>44537.3958333333</v>
      </c>
      <c r="M131" s="46">
        <v>3</v>
      </c>
      <c r="O131" s="13">
        <v>9.1</v>
      </c>
      <c r="P131" s="13">
        <v>9.6</v>
      </c>
      <c r="Q131" s="13">
        <v>7.6</v>
      </c>
      <c r="S131" s="13" t="s">
        <v>436</v>
      </c>
      <c r="T131" s="13" t="str">
        <f>_xlfn.DISPIMG("ID_DEAEB5C3F0934C78AB7B0A66184378A9",1)</f>
        <v>=DISPIMG("ID_DEAEB5C3F0934C78AB7B0A66184378A9",1)</v>
      </c>
      <c r="U131" s="66" t="s">
        <v>437</v>
      </c>
      <c r="V131" s="60" t="s">
        <v>59</v>
      </c>
      <c r="W131" s="49" t="s">
        <v>438</v>
      </c>
    </row>
    <row r="132" customHeight="1" spans="1:23">
      <c r="A132" s="52" t="s">
        <v>1556</v>
      </c>
      <c r="B132" s="45">
        <v>5652684.74</v>
      </c>
      <c r="D132" s="45">
        <f>AVERAGEA(O132:Q132)</f>
        <v>3.93333333333333</v>
      </c>
      <c r="H132" s="45">
        <v>5432795.4</v>
      </c>
      <c r="I132" s="46">
        <f t="shared" si="11"/>
        <v>3.88999829486335</v>
      </c>
      <c r="K132" s="46">
        <v>5.38</v>
      </c>
      <c r="L132" s="47">
        <v>44553.4583333333</v>
      </c>
      <c r="M132" s="46">
        <v>47</v>
      </c>
      <c r="N132" s="13">
        <v>1</v>
      </c>
      <c r="O132" s="13">
        <v>8.9</v>
      </c>
      <c r="P132" s="13">
        <v>2.4</v>
      </c>
      <c r="Q132" s="13">
        <v>0.5</v>
      </c>
      <c r="S132" s="13" t="s">
        <v>440</v>
      </c>
      <c r="T132" s="13" t="str">
        <f>_xlfn.DISPIMG("ID_39A08211ED6A4076AB89912F4CD96E32",1)</f>
        <v>=DISPIMG("ID_39A08211ED6A4076AB89912F4CD96E32",1)</v>
      </c>
      <c r="U132" s="13" t="s">
        <v>426</v>
      </c>
      <c r="V132" s="48" t="s">
        <v>427</v>
      </c>
      <c r="W132" s="49" t="s">
        <v>441</v>
      </c>
    </row>
    <row r="133" customHeight="1" spans="1:23">
      <c r="A133" s="49" t="s">
        <v>1557</v>
      </c>
      <c r="B133" s="45">
        <v>12483444.45</v>
      </c>
      <c r="D133" s="45">
        <v>0.5</v>
      </c>
      <c r="H133" s="45">
        <v>12316216.23</v>
      </c>
      <c r="I133" s="46">
        <f t="shared" si="11"/>
        <v>1.33959998516275</v>
      </c>
      <c r="K133" s="46">
        <v>6.8</v>
      </c>
      <c r="L133" s="47">
        <v>44560.375</v>
      </c>
      <c r="M133" s="46">
        <v>130</v>
      </c>
      <c r="S133" s="13" t="s">
        <v>447</v>
      </c>
      <c r="T133" s="13" t="str">
        <f>_xlfn.DISPIMG("ID_CF70DF69B1DC4D25A3468EF30FEC08EF",1)</f>
        <v>=DISPIMG("ID_CF70DF69B1DC4D25A3468EF30FEC08EF",1)</v>
      </c>
      <c r="U133" s="13" t="s">
        <v>444</v>
      </c>
      <c r="V133" s="48" t="s">
        <v>29</v>
      </c>
      <c r="W133" s="49" t="s">
        <v>448</v>
      </c>
    </row>
    <row r="134" customHeight="1" spans="1:23">
      <c r="A134" s="52" t="s">
        <v>1558</v>
      </c>
      <c r="B134" s="45">
        <v>6442351.55</v>
      </c>
      <c r="D134" s="45">
        <v>0.5</v>
      </c>
      <c r="H134" s="45">
        <v>6349130.37</v>
      </c>
      <c r="I134" s="46">
        <f t="shared" si="11"/>
        <v>1.44700548047553</v>
      </c>
      <c r="K134" s="46">
        <v>6.5</v>
      </c>
      <c r="L134" s="47">
        <v>44559.375</v>
      </c>
      <c r="M134" s="46">
        <v>135</v>
      </c>
      <c r="S134" s="13" t="s">
        <v>443</v>
      </c>
      <c r="T134" s="13" t="str">
        <f>_xlfn.DISPIMG("ID_CF70DF69B1DC4D25A3468EF30FEC08EF",1)</f>
        <v>=DISPIMG("ID_CF70DF69B1DC4D25A3468EF30FEC08EF",1)</v>
      </c>
      <c r="U134" s="13" t="s">
        <v>444</v>
      </c>
      <c r="V134" s="60" t="s">
        <v>29</v>
      </c>
      <c r="W134" s="49" t="s">
        <v>445</v>
      </c>
    </row>
    <row r="135" customHeight="1" spans="1:23">
      <c r="A135" s="55" t="s">
        <v>1559</v>
      </c>
      <c r="B135" s="45">
        <v>3721173.07</v>
      </c>
      <c r="D135" s="45">
        <v>98.5</v>
      </c>
      <c r="H135" s="45">
        <v>3478552.59</v>
      </c>
      <c r="I135" s="46">
        <f t="shared" si="11"/>
        <v>6.5199998880998</v>
      </c>
      <c r="K135" s="46">
        <v>6</v>
      </c>
      <c r="L135" s="47">
        <v>44560.4166666667</v>
      </c>
      <c r="M135" s="46">
        <v>73</v>
      </c>
      <c r="S135" s="13" t="s">
        <v>450</v>
      </c>
      <c r="T135" s="13" t="str">
        <f t="shared" ref="T135:T137" si="12">_xlfn.DISPIMG("ID_A5C5C48DA77F4825959FA26444F402F2",1)</f>
        <v>=DISPIMG("ID_A5C5C48DA77F4825959FA26444F402F2",1)</v>
      </c>
      <c r="U135" s="13" t="s">
        <v>162</v>
      </c>
      <c r="V135" s="48" t="s">
        <v>451</v>
      </c>
      <c r="W135" s="49" t="s">
        <v>452</v>
      </c>
    </row>
    <row r="136" customHeight="1" spans="1:23">
      <c r="A136" s="55" t="s">
        <v>1560</v>
      </c>
      <c r="B136" s="45">
        <v>2278638.42</v>
      </c>
      <c r="D136" s="45">
        <v>99.5</v>
      </c>
      <c r="H136" s="45">
        <v>2144654.48</v>
      </c>
      <c r="I136" s="46">
        <f t="shared" si="11"/>
        <v>5.88000003967281</v>
      </c>
      <c r="K136" s="46">
        <v>6.6</v>
      </c>
      <c r="L136" s="47">
        <v>44560.4166666667</v>
      </c>
      <c r="M136" s="46">
        <v>65</v>
      </c>
      <c r="S136" s="13" t="s">
        <v>454</v>
      </c>
      <c r="T136" s="13" t="str">
        <f t="shared" si="12"/>
        <v>=DISPIMG("ID_A5C5C48DA77F4825959FA26444F402F2",1)</v>
      </c>
      <c r="U136" s="13" t="s">
        <v>162</v>
      </c>
      <c r="V136" s="48" t="s">
        <v>451</v>
      </c>
      <c r="W136" s="49" t="s">
        <v>455</v>
      </c>
    </row>
    <row r="137" customHeight="1" spans="1:22">
      <c r="A137" s="52" t="s">
        <v>1561</v>
      </c>
      <c r="B137" s="45">
        <v>7630545.88</v>
      </c>
      <c r="D137" s="45">
        <v>98</v>
      </c>
      <c r="H137" s="45">
        <v>6569060.64</v>
      </c>
      <c r="I137" s="46">
        <f t="shared" si="11"/>
        <v>13.9110000345087</v>
      </c>
      <c r="K137" s="46">
        <v>5.88</v>
      </c>
      <c r="L137" s="47">
        <v>44568.375</v>
      </c>
      <c r="M137" s="46">
        <v>50</v>
      </c>
      <c r="S137" s="13" t="s">
        <v>457</v>
      </c>
      <c r="T137" s="13" t="str">
        <f t="shared" si="12"/>
        <v>=DISPIMG("ID_A5C5C48DA77F4825959FA26444F402F2",1)</v>
      </c>
      <c r="U137" s="13" t="s">
        <v>162</v>
      </c>
      <c r="V137" s="48" t="s">
        <v>458</v>
      </c>
    </row>
    <row r="138" customHeight="1" spans="1:23">
      <c r="A138" s="52" t="s">
        <v>1562</v>
      </c>
      <c r="B138" s="45">
        <v>13331695.68</v>
      </c>
      <c r="D138" s="45">
        <v>98</v>
      </c>
      <c r="E138" s="46">
        <v>13</v>
      </c>
      <c r="H138" s="45">
        <v>12454736.74</v>
      </c>
      <c r="I138" s="59">
        <f t="shared" si="11"/>
        <v>6.57799998627031</v>
      </c>
      <c r="K138" s="46">
        <v>7.86</v>
      </c>
      <c r="L138" s="47">
        <v>44572.375</v>
      </c>
      <c r="M138" s="46">
        <v>133</v>
      </c>
      <c r="S138" s="13" t="s">
        <v>460</v>
      </c>
      <c r="T138" s="13" t="str">
        <f>_xlfn.DISPIMG("ID_A7C8554973CD403FAE9FF1334A4E7093",1)</f>
        <v>=DISPIMG("ID_A7C8554973CD403FAE9FF1334A4E7093",1)</v>
      </c>
      <c r="U138" s="13" t="s">
        <v>26</v>
      </c>
      <c r="V138" s="48" t="s">
        <v>29</v>
      </c>
      <c r="W138" s="49" t="s">
        <v>461</v>
      </c>
    </row>
    <row r="139" customHeight="1" spans="1:22">
      <c r="A139" s="52" t="s">
        <v>1563</v>
      </c>
      <c r="B139" s="45">
        <v>1794421</v>
      </c>
      <c r="D139" s="45">
        <v>98</v>
      </c>
      <c r="H139" s="45">
        <v>1637769.84</v>
      </c>
      <c r="I139" s="46">
        <f t="shared" si="11"/>
        <v>8.7299000624714</v>
      </c>
      <c r="K139" s="46">
        <v>11.6</v>
      </c>
      <c r="L139" s="47">
        <v>44572.3958333333</v>
      </c>
      <c r="M139" s="46">
        <v>204</v>
      </c>
      <c r="S139" s="13" t="s">
        <v>463</v>
      </c>
      <c r="T139" s="13" t="str">
        <f t="shared" ref="T139:T143" si="13">_xlfn.DISPIMG("ID_A5C5C48DA77F4825959FA26444F402F2",1)</f>
        <v>=DISPIMG("ID_A5C5C48DA77F4825959FA26444F402F2",1)</v>
      </c>
      <c r="U139" s="13" t="s">
        <v>162</v>
      </c>
      <c r="V139" s="62" t="s">
        <v>464</v>
      </c>
    </row>
    <row r="140" customHeight="1" spans="1:22">
      <c r="A140" s="53" t="s">
        <v>1564</v>
      </c>
      <c r="B140" s="45">
        <v>3394431.86</v>
      </c>
      <c r="D140" s="45">
        <v>101</v>
      </c>
      <c r="H140" s="45">
        <v>3225049.7</v>
      </c>
      <c r="I140" s="46">
        <f t="shared" si="11"/>
        <v>4.99000030007967</v>
      </c>
      <c r="K140" s="46">
        <v>6.3</v>
      </c>
      <c r="L140" s="47">
        <v>44587.3958333333</v>
      </c>
      <c r="M140" s="46">
        <v>46</v>
      </c>
      <c r="S140" s="13" t="s">
        <v>470</v>
      </c>
      <c r="T140" s="13" t="str">
        <f t="shared" si="13"/>
        <v>=DISPIMG("ID_A5C5C48DA77F4825959FA26444F402F2",1)</v>
      </c>
      <c r="U140" s="13" t="s">
        <v>162</v>
      </c>
      <c r="V140" s="48" t="s">
        <v>471</v>
      </c>
    </row>
    <row r="141" customHeight="1" spans="1:22">
      <c r="A141" s="54" t="s">
        <v>1565</v>
      </c>
      <c r="B141" s="45">
        <v>18116587.8</v>
      </c>
      <c r="D141" s="45">
        <v>102</v>
      </c>
      <c r="F141" s="46">
        <f>100-100*G141</f>
        <v>7.29579979995235</v>
      </c>
      <c r="G141" s="46">
        <f>(100-I141)/D141</f>
        <v>0.927042002000476</v>
      </c>
      <c r="H141" s="45">
        <v>17130734.58</v>
      </c>
      <c r="I141" s="46">
        <f t="shared" si="11"/>
        <v>5.4417157959514</v>
      </c>
      <c r="K141" s="46">
        <v>4.36</v>
      </c>
      <c r="L141" s="47">
        <v>44589.4583333333</v>
      </c>
      <c r="M141" s="46">
        <v>743</v>
      </c>
      <c r="S141" s="61" t="s">
        <v>473</v>
      </c>
      <c r="T141" s="13" t="str">
        <f>_xlfn.DISPIMG("ID_B45AC5B0931F41358AA01BD5585B5788",1)</f>
        <v>=DISPIMG("ID_B45AC5B0931F41358AA01BD5585B5788",1)</v>
      </c>
      <c r="U141" s="13" t="s">
        <v>119</v>
      </c>
      <c r="V141" s="48" t="s">
        <v>120</v>
      </c>
    </row>
    <row r="142" customHeight="1" spans="1:23">
      <c r="A142" s="52" t="s">
        <v>1566</v>
      </c>
      <c r="B142" s="45">
        <v>7629907.72</v>
      </c>
      <c r="D142" s="45">
        <v>0.1</v>
      </c>
      <c r="H142" s="45">
        <v>7159881.98</v>
      </c>
      <c r="I142" s="46">
        <f t="shared" si="11"/>
        <v>6.16030700827402</v>
      </c>
      <c r="K142" s="46">
        <v>10.68</v>
      </c>
      <c r="L142" s="47">
        <v>44589.4791666667</v>
      </c>
      <c r="M142" s="46">
        <v>131</v>
      </c>
      <c r="S142" s="13" t="s">
        <v>478</v>
      </c>
      <c r="T142" s="13" t="str">
        <f>_xlfn.DISPIMG("ID_AB9CC0FC36584B33ABE1470B59C3303E",1)</f>
        <v>=DISPIMG("ID_AB9CC0FC36584B33ABE1470B59C3303E",1)</v>
      </c>
      <c r="U142" s="13" t="s">
        <v>383</v>
      </c>
      <c r="V142" s="60" t="s">
        <v>40</v>
      </c>
      <c r="W142" s="49" t="s">
        <v>479</v>
      </c>
    </row>
    <row r="143" customHeight="1" spans="1:22">
      <c r="A143" s="55" t="s">
        <v>1567</v>
      </c>
      <c r="B143" s="45">
        <v>9983861.92</v>
      </c>
      <c r="D143" s="45">
        <v>98</v>
      </c>
      <c r="H143" s="45">
        <v>9271100.54</v>
      </c>
      <c r="I143" s="46">
        <f t="shared" si="11"/>
        <v>7.13913499316506</v>
      </c>
      <c r="K143" s="46">
        <v>8.6</v>
      </c>
      <c r="L143" s="47">
        <v>44589.4583333333</v>
      </c>
      <c r="M143" s="46">
        <v>57</v>
      </c>
      <c r="S143" s="13" t="s">
        <v>475</v>
      </c>
      <c r="T143" s="13" t="str">
        <f t="shared" si="13"/>
        <v>=DISPIMG("ID_A5C5C48DA77F4825959FA26444F402F2",1)</v>
      </c>
      <c r="U143" s="13" t="s">
        <v>162</v>
      </c>
      <c r="V143" s="48" t="s">
        <v>476</v>
      </c>
    </row>
    <row r="144" customHeight="1" spans="1:22">
      <c r="A144" s="54" t="s">
        <v>1568</v>
      </c>
      <c r="B144" s="45">
        <v>15395171.18</v>
      </c>
      <c r="D144" s="45">
        <v>101.6</v>
      </c>
      <c r="F144" s="46">
        <f>100-100*G144</f>
        <v>7.03405834881265</v>
      </c>
      <c r="G144" s="46">
        <f>(100-I144)/D144</f>
        <v>0.929659416511874</v>
      </c>
      <c r="H144" s="45">
        <v>14541262.11</v>
      </c>
      <c r="I144" s="46">
        <f t="shared" si="11"/>
        <v>5.54660328239365</v>
      </c>
      <c r="K144" s="46">
        <v>3.54</v>
      </c>
      <c r="L144" s="47">
        <v>44600.4375</v>
      </c>
      <c r="M144" s="46">
        <v>667</v>
      </c>
      <c r="S144" s="13" t="s">
        <v>481</v>
      </c>
      <c r="T144" s="13" t="str">
        <f>_xlfn.DISPIMG("ID_B45AC5B0931F41358AA01BD5585B5788",1)</f>
        <v>=DISPIMG("ID_B45AC5B0931F41358AA01BD5585B5788",1)</v>
      </c>
      <c r="U144" s="13" t="s">
        <v>119</v>
      </c>
      <c r="V144" s="60" t="s">
        <v>120</v>
      </c>
    </row>
    <row r="145" customHeight="1" spans="1:22">
      <c r="A145" s="54" t="s">
        <v>1569</v>
      </c>
      <c r="B145" s="45">
        <v>5629626.7</v>
      </c>
      <c r="D145" s="45">
        <v>101.6</v>
      </c>
      <c r="F145" s="46">
        <f>100-100*G145</f>
        <v>6.86318910591271</v>
      </c>
      <c r="G145" s="46">
        <f>(100-I145)/D145</f>
        <v>0.931368108940873</v>
      </c>
      <c r="H145" s="45">
        <v>5327146.85</v>
      </c>
      <c r="I145" s="46">
        <f t="shared" si="11"/>
        <v>5.37300013160731</v>
      </c>
      <c r="K145" s="46">
        <v>5.8</v>
      </c>
      <c r="L145" s="47">
        <v>44601.3958333333</v>
      </c>
      <c r="M145" s="46">
        <v>622</v>
      </c>
      <c r="S145" s="13" t="s">
        <v>483</v>
      </c>
      <c r="T145" s="13" t="str">
        <f>_xlfn.DISPIMG("ID_B45AC5B0931F41358AA01BD5585B5788",1)</f>
        <v>=DISPIMG("ID_B45AC5B0931F41358AA01BD5585B5788",1)</v>
      </c>
      <c r="U145" s="13" t="s">
        <v>119</v>
      </c>
      <c r="V145" s="60" t="s">
        <v>120</v>
      </c>
    </row>
    <row r="146" customHeight="1" spans="1:22">
      <c r="A146" s="54" t="s">
        <v>1570</v>
      </c>
      <c r="B146" s="45">
        <v>26374111.09</v>
      </c>
      <c r="D146" s="45">
        <v>102</v>
      </c>
      <c r="F146" s="46">
        <f>100-100*G146</f>
        <v>6.75000056968187</v>
      </c>
      <c r="G146" s="46">
        <f>(100-I146)/D146</f>
        <v>0.932499994303181</v>
      </c>
      <c r="H146" s="45">
        <v>25085735.61</v>
      </c>
      <c r="I146" s="46">
        <f t="shared" si="11"/>
        <v>4.8850005810755</v>
      </c>
      <c r="K146" s="46">
        <v>5.6</v>
      </c>
      <c r="L146" s="47">
        <v>44602.3958333333</v>
      </c>
      <c r="M146" s="46">
        <v>737</v>
      </c>
      <c r="S146" s="13" t="s">
        <v>487</v>
      </c>
      <c r="T146" s="13" t="str">
        <f>_xlfn.DISPIMG("ID_B45AC5B0931F41358AA01BD5585B5788",1)</f>
        <v>=DISPIMG("ID_B45AC5B0931F41358AA01BD5585B5788",1)</v>
      </c>
      <c r="U146" s="13" t="s">
        <v>119</v>
      </c>
      <c r="V146" s="60" t="s">
        <v>120</v>
      </c>
    </row>
    <row r="147" customHeight="1" spans="1:22">
      <c r="A147" s="55" t="s">
        <v>1571</v>
      </c>
      <c r="B147" s="45">
        <v>9754319.88</v>
      </c>
      <c r="D147" s="45">
        <v>99.5</v>
      </c>
      <c r="H147" s="45">
        <v>8690152.86</v>
      </c>
      <c r="I147" s="46">
        <f t="shared" si="11"/>
        <v>10.9096998364995</v>
      </c>
      <c r="K147" s="59">
        <v>7.86</v>
      </c>
      <c r="L147" s="47">
        <v>44602.375</v>
      </c>
      <c r="M147" s="46">
        <v>110</v>
      </c>
      <c r="S147" s="13" t="s">
        <v>485</v>
      </c>
      <c r="T147" s="13" t="str">
        <f>_xlfn.DISPIMG("ID_A5C5C48DA77F4825959FA26444F402F2",1)</f>
        <v>=DISPIMG("ID_A5C5C48DA77F4825959FA26444F402F2",1)</v>
      </c>
      <c r="U147" s="13" t="s">
        <v>162</v>
      </c>
      <c r="V147" s="48" t="s">
        <v>476</v>
      </c>
    </row>
    <row r="148" customHeight="1" spans="1:22">
      <c r="A148" s="52" t="s">
        <v>1572</v>
      </c>
      <c r="B148" s="45">
        <v>4297712.67</v>
      </c>
      <c r="D148" s="45">
        <v>0.1</v>
      </c>
      <c r="H148" s="45">
        <v>3902283.4</v>
      </c>
      <c r="I148" s="46">
        <f t="shared" si="11"/>
        <v>9.20092384863877</v>
      </c>
      <c r="K148" s="46">
        <v>11.3</v>
      </c>
      <c r="L148" s="47">
        <v>44607.375</v>
      </c>
      <c r="M148" s="46">
        <v>155</v>
      </c>
      <c r="S148" s="13" t="s">
        <v>492</v>
      </c>
      <c r="T148" s="13" t="str">
        <f>_xlfn.DISPIMG("ID_F2746A9E2B164F388A2E739D7AABEDEA",1)</f>
        <v>=DISPIMG("ID_F2746A9E2B164F388A2E739D7AABEDEA",1)</v>
      </c>
      <c r="U148" s="13" t="s">
        <v>493</v>
      </c>
      <c r="V148" s="60" t="s">
        <v>40</v>
      </c>
    </row>
    <row r="149" customHeight="1" spans="1:23">
      <c r="A149" s="53" t="s">
        <v>1573</v>
      </c>
      <c r="B149" s="45">
        <v>5144018.19</v>
      </c>
      <c r="D149" s="45">
        <v>101.6</v>
      </c>
      <c r="F149" s="46">
        <f>100-100*G149</f>
        <v>6.3425196635405</v>
      </c>
      <c r="G149" s="46">
        <f>(100-I149)/D149</f>
        <v>0.936574803364595</v>
      </c>
      <c r="H149" s="45">
        <v>4894841.95</v>
      </c>
      <c r="I149" s="46">
        <f t="shared" si="11"/>
        <v>4.84399997815716</v>
      </c>
      <c r="K149" s="46">
        <v>8.67</v>
      </c>
      <c r="L149" s="47">
        <v>44603.3958333333</v>
      </c>
      <c r="M149" s="46">
        <v>48</v>
      </c>
      <c r="S149" s="13" t="s">
        <v>489</v>
      </c>
      <c r="T149" s="13" t="str">
        <f>_xlfn.DISPIMG("ID_B45AC5B0931F41358AA01BD5585B5788",1)</f>
        <v>=DISPIMG("ID_B45AC5B0931F41358AA01BD5585B5788",1)</v>
      </c>
      <c r="U149" s="13" t="s">
        <v>119</v>
      </c>
      <c r="V149" s="60" t="s">
        <v>120</v>
      </c>
      <c r="W149" s="49" t="s">
        <v>490</v>
      </c>
    </row>
    <row r="150" customHeight="1" spans="1:23">
      <c r="A150" s="52" t="s">
        <v>1574</v>
      </c>
      <c r="B150" s="45">
        <v>6472745.94</v>
      </c>
      <c r="D150" s="45">
        <v>0.4</v>
      </c>
      <c r="H150" s="45">
        <v>6135256.53</v>
      </c>
      <c r="I150" s="46">
        <f t="shared" si="11"/>
        <v>5.214006746571</v>
      </c>
      <c r="K150" s="46">
        <v>7.96</v>
      </c>
      <c r="L150" s="47">
        <v>44609.375</v>
      </c>
      <c r="M150" s="46">
        <v>257</v>
      </c>
      <c r="S150" s="13" t="s">
        <v>502</v>
      </c>
      <c r="T150" s="13" t="str">
        <f>_xlfn.DISPIMG("ID_DA525B631F12498FBD4C0447472A2F2C",1)</f>
        <v>=DISPIMG("ID_DA525B631F12498FBD4C0447472A2F2C",1)</v>
      </c>
      <c r="U150" s="13" t="s">
        <v>225</v>
      </c>
      <c r="V150" s="60" t="s">
        <v>29</v>
      </c>
      <c r="W150" s="49" t="s">
        <v>503</v>
      </c>
    </row>
    <row r="151" customHeight="1" spans="1:23">
      <c r="A151" s="52" t="s">
        <v>1575</v>
      </c>
      <c r="B151" s="45">
        <v>4170129.87</v>
      </c>
      <c r="D151" s="45">
        <v>0.3</v>
      </c>
      <c r="H151" s="45">
        <v>3798151.17</v>
      </c>
      <c r="I151" s="46">
        <f t="shared" si="11"/>
        <v>8.92007471220555</v>
      </c>
      <c r="K151" s="46">
        <v>8.68</v>
      </c>
      <c r="L151" s="47">
        <v>44607.3958333333</v>
      </c>
      <c r="M151" s="46">
        <v>127</v>
      </c>
      <c r="S151" s="13" t="s">
        <v>495</v>
      </c>
      <c r="T151" s="13" t="str">
        <f>_xlfn.DISPIMG("ID_AB9CC0FC36584B33ABE1470B59C3303E",1)</f>
        <v>=DISPIMG("ID_AB9CC0FC36584B33ABE1470B59C3303E",1)</v>
      </c>
      <c r="U151" s="13" t="s">
        <v>383</v>
      </c>
      <c r="V151" s="52" t="s">
        <v>581</v>
      </c>
      <c r="W151" s="67" t="s">
        <v>496</v>
      </c>
    </row>
    <row r="152" customHeight="1" spans="1:23">
      <c r="A152" s="49" t="s">
        <v>1576</v>
      </c>
      <c r="B152" s="45">
        <v>18331580.34</v>
      </c>
      <c r="D152" s="45">
        <v>99.6</v>
      </c>
      <c r="E152" s="46">
        <v>18</v>
      </c>
      <c r="H152" s="45">
        <v>17315952.12</v>
      </c>
      <c r="I152" s="59">
        <f t="shared" si="11"/>
        <v>5.54032004422375</v>
      </c>
      <c r="K152" s="46">
        <v>5.9</v>
      </c>
      <c r="L152" s="47">
        <v>44608.4375</v>
      </c>
      <c r="M152" s="46">
        <v>73</v>
      </c>
      <c r="S152" s="13" t="s">
        <v>498</v>
      </c>
      <c r="T152" s="13" t="str">
        <f t="shared" ref="T152:T154" si="14">_xlfn.DISPIMG("ID_A7C8554973CD403FAE9FF1334A4E7093",1)</f>
        <v>=DISPIMG("ID_A7C8554973CD403FAE9FF1334A4E7093",1)</v>
      </c>
      <c r="U152" s="13" t="s">
        <v>26</v>
      </c>
      <c r="V152" s="57" t="s">
        <v>499</v>
      </c>
      <c r="W152" s="68" t="s">
        <v>500</v>
      </c>
    </row>
    <row r="153" customHeight="1" spans="1:23">
      <c r="A153" s="52" t="s">
        <v>1577</v>
      </c>
      <c r="B153" s="45">
        <v>5110483.14</v>
      </c>
      <c r="D153" s="45">
        <v>101.6</v>
      </c>
      <c r="E153" s="46">
        <v>12</v>
      </c>
      <c r="H153" s="45">
        <v>4935040.25</v>
      </c>
      <c r="I153" s="59">
        <f t="shared" si="11"/>
        <v>3.43300007443131</v>
      </c>
      <c r="K153" s="46">
        <v>7.6</v>
      </c>
      <c r="L153" s="47">
        <v>44615.3958333333</v>
      </c>
      <c r="M153" s="46">
        <v>90</v>
      </c>
      <c r="S153" s="13" t="s">
        <v>505</v>
      </c>
      <c r="T153" s="13" t="str">
        <f t="shared" si="14"/>
        <v>=DISPIMG("ID_A7C8554973CD403FAE9FF1334A4E7093",1)</v>
      </c>
      <c r="U153" s="13" t="s">
        <v>26</v>
      </c>
      <c r="V153" s="52" t="s">
        <v>506</v>
      </c>
      <c r="W153" s="52" t="s">
        <v>507</v>
      </c>
    </row>
    <row r="154" customHeight="1" spans="1:23">
      <c r="A154" s="52" t="s">
        <v>1578</v>
      </c>
      <c r="B154" s="45">
        <v>22387156.2</v>
      </c>
      <c r="D154" s="45">
        <v>98.4</v>
      </c>
      <c r="E154" s="46">
        <v>12</v>
      </c>
      <c r="H154" s="45">
        <v>21109297.32</v>
      </c>
      <c r="I154" s="59">
        <f t="shared" si="11"/>
        <v>5.70800001833193</v>
      </c>
      <c r="K154" s="46">
        <v>5.6</v>
      </c>
      <c r="L154" s="47">
        <v>44616.4375</v>
      </c>
      <c r="M154" s="46">
        <v>43</v>
      </c>
      <c r="S154" s="13" t="s">
        <v>513</v>
      </c>
      <c r="T154" s="13" t="str">
        <f t="shared" si="14"/>
        <v>=DISPIMG("ID_A7C8554973CD403FAE9FF1334A4E7093",1)</v>
      </c>
      <c r="U154" s="13" t="s">
        <v>26</v>
      </c>
      <c r="V154" s="52" t="s">
        <v>506</v>
      </c>
      <c r="W154" s="52" t="s">
        <v>514</v>
      </c>
    </row>
    <row r="155" customHeight="1" spans="1:23">
      <c r="A155" s="55" t="s">
        <v>1579</v>
      </c>
      <c r="B155" s="45">
        <v>23142023.23</v>
      </c>
      <c r="D155" s="45">
        <v>99</v>
      </c>
      <c r="H155" s="45">
        <v>21213505.87</v>
      </c>
      <c r="I155" s="46">
        <f t="shared" si="11"/>
        <v>8.33339998336869</v>
      </c>
      <c r="K155" s="46">
        <v>8.6</v>
      </c>
      <c r="L155" s="47">
        <v>44616.3958333333</v>
      </c>
      <c r="M155" s="46">
        <v>108</v>
      </c>
      <c r="S155" s="13" t="s">
        <v>509</v>
      </c>
      <c r="T155" s="13" t="str">
        <f>_xlfn.DISPIMG("ID_A5C5C48DA77F4825959FA26444F402F2",1)</f>
        <v>=DISPIMG("ID_A5C5C48DA77F4825959FA26444F402F2",1)</v>
      </c>
      <c r="U155" s="13" t="s">
        <v>162</v>
      </c>
      <c r="V155" s="55" t="s">
        <v>510</v>
      </c>
      <c r="W155" s="52" t="s">
        <v>511</v>
      </c>
    </row>
    <row r="156" customHeight="1" spans="1:23">
      <c r="A156" s="55" t="s">
        <v>1580</v>
      </c>
      <c r="B156" s="45">
        <v>12155410.02</v>
      </c>
      <c r="D156" s="45">
        <v>102</v>
      </c>
      <c r="H156" s="45">
        <v>11165839.31</v>
      </c>
      <c r="I156" s="46">
        <f t="shared" si="11"/>
        <v>8.14098996555281</v>
      </c>
      <c r="K156" s="46">
        <v>5.2</v>
      </c>
      <c r="L156" s="47">
        <v>44629.3958333333</v>
      </c>
      <c r="M156" s="46">
        <v>240</v>
      </c>
      <c r="S156" s="13" t="s">
        <v>538</v>
      </c>
      <c r="T156" s="13" t="str">
        <f>_xlfn.DISPIMG("ID_A5C5C48DA77F4825959FA26444F402F2",1)</f>
        <v>=DISPIMG("ID_A5C5C48DA77F4825959FA26444F402F2",1)</v>
      </c>
      <c r="U156" s="13" t="s">
        <v>162</v>
      </c>
      <c r="V156" s="52" t="s">
        <v>539</v>
      </c>
      <c r="W156" s="55" t="s">
        <v>540</v>
      </c>
    </row>
    <row r="157" customHeight="1" spans="1:23">
      <c r="A157" s="52" t="s">
        <v>1581</v>
      </c>
      <c r="B157" s="45">
        <v>13423322.28</v>
      </c>
      <c r="D157" s="45">
        <v>100.8</v>
      </c>
      <c r="E157" s="46">
        <v>12</v>
      </c>
      <c r="H157" s="45">
        <v>12920887.33</v>
      </c>
      <c r="I157" s="59">
        <f t="shared" si="11"/>
        <v>3.74299997809484</v>
      </c>
      <c r="K157" s="46">
        <v>8.3</v>
      </c>
      <c r="L157" s="47">
        <v>44629.375</v>
      </c>
      <c r="M157" s="46">
        <v>123</v>
      </c>
      <c r="S157" s="13" t="s">
        <v>535</v>
      </c>
      <c r="T157" s="13" t="str">
        <f>_xlfn.DISPIMG("ID_A7C8554973CD403FAE9FF1334A4E7093",1)</f>
        <v>=DISPIMG("ID_A7C8554973CD403FAE9FF1334A4E7093",1)</v>
      </c>
      <c r="U157" s="13" t="s">
        <v>26</v>
      </c>
      <c r="V157" s="52" t="s">
        <v>506</v>
      </c>
      <c r="W157" s="52" t="s">
        <v>536</v>
      </c>
    </row>
    <row r="158" customHeight="1" spans="1:23">
      <c r="A158" s="52" t="s">
        <v>1582</v>
      </c>
      <c r="B158" s="45">
        <v>28364987.56</v>
      </c>
      <c r="D158" s="45">
        <v>102</v>
      </c>
      <c r="E158" s="46">
        <v>12</v>
      </c>
      <c r="H158" s="45">
        <v>27740957.83</v>
      </c>
      <c r="I158" s="59">
        <f t="shared" si="11"/>
        <v>2.20000001297373</v>
      </c>
      <c r="K158" s="46">
        <v>4.6</v>
      </c>
      <c r="L158" s="47">
        <v>44629.4166666667</v>
      </c>
      <c r="M158" s="46">
        <v>119</v>
      </c>
      <c r="S158" s="13" t="s">
        <v>542</v>
      </c>
      <c r="T158" s="13" t="str">
        <f>_xlfn.DISPIMG("ID_A7C8554973CD403FAE9FF1334A4E7093",1)</f>
        <v>=DISPIMG("ID_A7C8554973CD403FAE9FF1334A4E7093",1)</v>
      </c>
      <c r="U158" s="13" t="s">
        <v>26</v>
      </c>
      <c r="V158" s="52" t="s">
        <v>506</v>
      </c>
      <c r="W158" s="52" t="s">
        <v>543</v>
      </c>
    </row>
    <row r="159" customHeight="1" spans="1:23">
      <c r="A159" s="49" t="s">
        <v>1583</v>
      </c>
      <c r="B159" s="45">
        <v>6582246.86</v>
      </c>
      <c r="D159" s="45">
        <v>0.3</v>
      </c>
      <c r="H159" s="45">
        <v>6192106.66</v>
      </c>
      <c r="I159" s="46">
        <f t="shared" si="11"/>
        <v>5.92715843537962</v>
      </c>
      <c r="K159" s="46">
        <v>5.8</v>
      </c>
      <c r="L159" s="47">
        <v>44624.375</v>
      </c>
      <c r="M159" s="46">
        <v>308</v>
      </c>
      <c r="S159" s="13" t="s">
        <v>527</v>
      </c>
      <c r="T159" s="13" t="str">
        <f t="shared" ref="T159:T168" si="15">_xlfn.DISPIMG("ID_DA525B631F12498FBD4C0447472A2F2C",1)</f>
        <v>=DISPIMG("ID_DA525B631F12498FBD4C0447472A2F2C",1)</v>
      </c>
      <c r="U159" s="13" t="s">
        <v>225</v>
      </c>
      <c r="V159" s="52" t="s">
        <v>581</v>
      </c>
      <c r="W159" s="49" t="s">
        <v>517</v>
      </c>
    </row>
    <row r="160" customHeight="1" spans="1:23">
      <c r="A160" s="49" t="s">
        <v>1584</v>
      </c>
      <c r="B160" s="45">
        <v>10937477.5</v>
      </c>
      <c r="D160" s="45">
        <v>0.5</v>
      </c>
      <c r="H160" s="45">
        <v>10750862.91</v>
      </c>
      <c r="I160" s="46">
        <f t="shared" si="11"/>
        <v>1.70619404702775</v>
      </c>
      <c r="K160" s="46">
        <v>7.86</v>
      </c>
      <c r="L160" s="47">
        <v>44624.375</v>
      </c>
      <c r="M160" s="46">
        <v>268</v>
      </c>
      <c r="S160" s="13" t="s">
        <v>533</v>
      </c>
      <c r="T160" s="13" t="str">
        <f t="shared" si="15"/>
        <v>=DISPIMG("ID_DA525B631F12498FBD4C0447472A2F2C",1)</v>
      </c>
      <c r="U160" s="13" t="s">
        <v>225</v>
      </c>
      <c r="V160" s="52" t="s">
        <v>581</v>
      </c>
      <c r="W160" s="49" t="s">
        <v>517</v>
      </c>
    </row>
    <row r="161" customHeight="1" spans="1:23">
      <c r="A161" s="49" t="s">
        <v>1585</v>
      </c>
      <c r="B161" s="45">
        <v>9194125.56</v>
      </c>
      <c r="D161" s="45">
        <v>0.3</v>
      </c>
      <c r="H161" s="45">
        <v>9043866.51</v>
      </c>
      <c r="I161" s="46">
        <f t="shared" si="11"/>
        <v>1.63429408288394</v>
      </c>
      <c r="K161" s="46">
        <v>2.56</v>
      </c>
      <c r="L161" s="47">
        <v>44624.375</v>
      </c>
      <c r="M161" s="46">
        <v>310</v>
      </c>
      <c r="S161" s="13" t="s">
        <v>521</v>
      </c>
      <c r="T161" s="13" t="str">
        <f t="shared" si="15"/>
        <v>=DISPIMG("ID_DA525B631F12498FBD4C0447472A2F2C",1)</v>
      </c>
      <c r="U161" s="13" t="s">
        <v>225</v>
      </c>
      <c r="V161" s="52" t="s">
        <v>581</v>
      </c>
      <c r="W161" s="49" t="s">
        <v>517</v>
      </c>
    </row>
    <row r="162" customHeight="1" spans="1:23">
      <c r="A162" s="49" t="s">
        <v>1586</v>
      </c>
      <c r="B162" s="45">
        <v>9377695.57</v>
      </c>
      <c r="D162" s="45">
        <v>0.3</v>
      </c>
      <c r="H162" s="45">
        <v>9188640.42</v>
      </c>
      <c r="I162" s="46">
        <f t="shared" si="11"/>
        <v>2.01600860881859</v>
      </c>
      <c r="K162" s="46">
        <v>2</v>
      </c>
      <c r="L162" s="47">
        <v>44624.375</v>
      </c>
      <c r="M162" s="46">
        <v>308</v>
      </c>
      <c r="S162" s="13" t="s">
        <v>529</v>
      </c>
      <c r="T162" s="13" t="str">
        <f t="shared" si="15"/>
        <v>=DISPIMG("ID_DA525B631F12498FBD4C0447472A2F2C",1)</v>
      </c>
      <c r="U162" s="13" t="s">
        <v>225</v>
      </c>
      <c r="V162" s="52" t="s">
        <v>581</v>
      </c>
      <c r="W162" s="49" t="s">
        <v>517</v>
      </c>
    </row>
    <row r="163" customHeight="1" spans="1:23">
      <c r="A163" s="49" t="s">
        <v>1587</v>
      </c>
      <c r="B163" s="45">
        <v>13997831.48</v>
      </c>
      <c r="D163" s="45">
        <v>0.4</v>
      </c>
      <c r="H163" s="45">
        <v>13708528.23</v>
      </c>
      <c r="I163" s="46">
        <f t="shared" si="11"/>
        <v>2.06677191687409</v>
      </c>
      <c r="K163" s="46">
        <v>1.8</v>
      </c>
      <c r="L163" s="47">
        <v>44624.375</v>
      </c>
      <c r="M163" s="46">
        <v>312</v>
      </c>
      <c r="S163" s="13" t="s">
        <v>516</v>
      </c>
      <c r="T163" s="13" t="str">
        <f t="shared" si="15"/>
        <v>=DISPIMG("ID_DA525B631F12498FBD4C0447472A2F2C",1)</v>
      </c>
      <c r="U163" s="13" t="s">
        <v>225</v>
      </c>
      <c r="V163" s="52" t="s">
        <v>581</v>
      </c>
      <c r="W163" s="49" t="s">
        <v>517</v>
      </c>
    </row>
    <row r="164" customHeight="1" spans="1:23">
      <c r="A164" s="49" t="s">
        <v>1588</v>
      </c>
      <c r="B164" s="45">
        <v>12773874.94</v>
      </c>
      <c r="D164" s="45">
        <v>0.3</v>
      </c>
      <c r="H164" s="45">
        <v>12578197.55</v>
      </c>
      <c r="I164" s="46">
        <f t="shared" si="11"/>
        <v>1.53185615891117</v>
      </c>
      <c r="K164" s="46">
        <v>2</v>
      </c>
      <c r="L164" s="47">
        <v>44624.375</v>
      </c>
      <c r="M164" s="46">
        <v>312</v>
      </c>
      <c r="S164" s="13" t="s">
        <v>519</v>
      </c>
      <c r="T164" s="13" t="str">
        <f t="shared" si="15"/>
        <v>=DISPIMG("ID_DA525B631F12498FBD4C0447472A2F2C",1)</v>
      </c>
      <c r="U164" s="13" t="s">
        <v>225</v>
      </c>
      <c r="V164" s="52" t="s">
        <v>581</v>
      </c>
      <c r="W164" s="49" t="s">
        <v>517</v>
      </c>
    </row>
    <row r="165" customHeight="1" spans="1:23">
      <c r="A165" s="49" t="s">
        <v>1589</v>
      </c>
      <c r="B165" s="45">
        <v>9320236.49</v>
      </c>
      <c r="D165" s="45">
        <v>0.5</v>
      </c>
      <c r="H165" s="45">
        <v>9177186.65</v>
      </c>
      <c r="I165" s="46">
        <f t="shared" si="11"/>
        <v>1.53483058239438</v>
      </c>
      <c r="K165" s="46">
        <v>1.8</v>
      </c>
      <c r="L165" s="47">
        <v>44624.375</v>
      </c>
      <c r="M165" s="46">
        <v>309</v>
      </c>
      <c r="S165" s="13" t="s">
        <v>523</v>
      </c>
      <c r="T165" s="13" t="str">
        <f t="shared" si="15"/>
        <v>=DISPIMG("ID_DA525B631F12498FBD4C0447472A2F2C",1)</v>
      </c>
      <c r="U165" s="13" t="s">
        <v>225</v>
      </c>
      <c r="V165" s="52" t="s">
        <v>581</v>
      </c>
      <c r="W165" s="49" t="s">
        <v>517</v>
      </c>
    </row>
    <row r="166" customHeight="1" spans="1:23">
      <c r="A166" s="49" t="s">
        <v>1590</v>
      </c>
      <c r="B166" s="45">
        <v>9399165.91</v>
      </c>
      <c r="D166" s="45">
        <v>0.4</v>
      </c>
      <c r="H166" s="45">
        <v>9251794.82</v>
      </c>
      <c r="I166" s="46">
        <f t="shared" si="11"/>
        <v>1.56791667910882</v>
      </c>
      <c r="K166" s="46">
        <v>1.6</v>
      </c>
      <c r="L166" s="47">
        <v>44624.375</v>
      </c>
      <c r="M166" s="46">
        <v>309</v>
      </c>
      <c r="S166" s="13" t="s">
        <v>525</v>
      </c>
      <c r="T166" s="13" t="str">
        <f t="shared" si="15"/>
        <v>=DISPIMG("ID_DA525B631F12498FBD4C0447472A2F2C",1)</v>
      </c>
      <c r="U166" s="13" t="s">
        <v>225</v>
      </c>
      <c r="V166" s="52" t="s">
        <v>581</v>
      </c>
      <c r="W166" s="49" t="s">
        <v>517</v>
      </c>
    </row>
    <row r="167" customHeight="1" spans="1:23">
      <c r="A167" s="49" t="s">
        <v>1591</v>
      </c>
      <c r="B167" s="45">
        <v>8601983.62</v>
      </c>
      <c r="D167" s="45">
        <v>0.4</v>
      </c>
      <c r="H167" s="45">
        <v>8383873.38</v>
      </c>
      <c r="I167" s="46">
        <f t="shared" si="11"/>
        <v>2.53558074085241</v>
      </c>
      <c r="K167" s="46">
        <v>2.2</v>
      </c>
      <c r="L167" s="47">
        <v>44624.375</v>
      </c>
      <c r="M167" s="46">
        <v>307</v>
      </c>
      <c r="S167" s="13" t="s">
        <v>531</v>
      </c>
      <c r="T167" s="13" t="str">
        <f t="shared" si="15"/>
        <v>=DISPIMG("ID_DA525B631F12498FBD4C0447472A2F2C",1)</v>
      </c>
      <c r="U167" s="13" t="s">
        <v>225</v>
      </c>
      <c r="V167" s="52" t="s">
        <v>581</v>
      </c>
      <c r="W167" s="49" t="s">
        <v>517</v>
      </c>
    </row>
    <row r="168" customHeight="1" spans="1:23">
      <c r="A168" s="52" t="s">
        <v>1592</v>
      </c>
      <c r="B168" s="45">
        <v>4012707.13</v>
      </c>
      <c r="D168" s="45">
        <f>AVERAGEA(O168:Q168)</f>
        <v>10.1333333333333</v>
      </c>
      <c r="E168" s="46">
        <f>R168</f>
        <v>0.1</v>
      </c>
      <c r="H168" s="45">
        <v>3664404.16</v>
      </c>
      <c r="I168" s="46">
        <f t="shared" si="11"/>
        <v>8.67999977860333</v>
      </c>
      <c r="K168" s="46">
        <v>7.6</v>
      </c>
      <c r="L168" s="47">
        <v>44636.375</v>
      </c>
      <c r="N168" s="13">
        <v>4</v>
      </c>
      <c r="O168" s="13">
        <v>12.5</v>
      </c>
      <c r="P168" s="13">
        <v>7.4</v>
      </c>
      <c r="Q168" s="13">
        <v>10.5</v>
      </c>
      <c r="R168" s="13">
        <v>0.1</v>
      </c>
      <c r="S168" s="13" t="s">
        <v>548</v>
      </c>
      <c r="T168" s="13" t="str">
        <f>_xlfn.DISPIMG("ID_E7B6C2B29CCA4B4D8B6DDB4E67A8393D",1)</f>
        <v>=DISPIMG("ID_E7B6C2B29CCA4B4D8B6DDB4E67A8393D",1)</v>
      </c>
      <c r="U168" s="66" t="s">
        <v>549</v>
      </c>
      <c r="V168" s="52" t="s">
        <v>1593</v>
      </c>
      <c r="W168" s="52" t="s">
        <v>550</v>
      </c>
    </row>
    <row r="169" customHeight="1" spans="1:23">
      <c r="A169" s="52" t="s">
        <v>1594</v>
      </c>
      <c r="B169" s="45">
        <v>1680110.75</v>
      </c>
      <c r="D169" s="45">
        <f>AVERAGEA(O169:Q169)</f>
        <v>7.93333333333333</v>
      </c>
      <c r="E169" s="46">
        <f>R169</f>
        <v>0</v>
      </c>
      <c r="H169" s="45">
        <v>1547382</v>
      </c>
      <c r="I169" s="46">
        <f t="shared" si="11"/>
        <v>7.90000004463991</v>
      </c>
      <c r="K169" s="46">
        <v>8.6</v>
      </c>
      <c r="L169" s="47">
        <v>44637.4583333333</v>
      </c>
      <c r="M169" s="46">
        <v>17</v>
      </c>
      <c r="N169" s="13">
        <v>3</v>
      </c>
      <c r="O169" s="13">
        <v>6.2</v>
      </c>
      <c r="P169" s="13">
        <v>9.4</v>
      </c>
      <c r="Q169" s="13">
        <v>8.2</v>
      </c>
      <c r="S169" s="13" t="s">
        <v>554</v>
      </c>
      <c r="T169" s="13" t="str">
        <f>_xlfn.DISPIMG("ID_856A5E68FBD44477803E98F6A3556521",1)</f>
        <v>=DISPIMG("ID_856A5E68FBD44477803E98F6A3556521",1)</v>
      </c>
      <c r="U169" s="66" t="s">
        <v>555</v>
      </c>
      <c r="V169" s="69" t="s">
        <v>556</v>
      </c>
      <c r="W169" s="52" t="s">
        <v>557</v>
      </c>
    </row>
    <row r="170" customHeight="1" spans="1:23">
      <c r="A170" s="55" t="s">
        <v>1595</v>
      </c>
      <c r="B170" s="45">
        <v>10421701.33</v>
      </c>
      <c r="D170" s="45">
        <v>101.5</v>
      </c>
      <c r="H170" s="45">
        <v>9675924.38</v>
      </c>
      <c r="I170" s="46">
        <f t="shared" si="11"/>
        <v>7.1560000271088</v>
      </c>
      <c r="K170" s="46">
        <v>6.2</v>
      </c>
      <c r="L170" s="47">
        <v>44638.4375</v>
      </c>
      <c r="M170" s="46">
        <v>47</v>
      </c>
      <c r="S170" s="13" t="s">
        <v>559</v>
      </c>
      <c r="T170" s="13" t="str">
        <f>_xlfn.DISPIMG("ID_A5C5C48DA77F4825959FA26444F402F2",1)</f>
        <v>=DISPIMG("ID_A5C5C48DA77F4825959FA26444F402F2",1)</v>
      </c>
      <c r="U170" s="13" t="s">
        <v>162</v>
      </c>
      <c r="V170" s="52" t="s">
        <v>560</v>
      </c>
      <c r="W170" s="52" t="s">
        <v>561</v>
      </c>
    </row>
    <row r="171" customHeight="1" spans="1:22">
      <c r="A171" s="52" t="s">
        <v>1596</v>
      </c>
      <c r="B171" s="45">
        <v>5878507.13</v>
      </c>
      <c r="D171" s="45">
        <v>98</v>
      </c>
      <c r="F171" s="46">
        <f>100-100*G171</f>
        <v>6.18061225420026</v>
      </c>
      <c r="G171" s="46">
        <f>(100-I171)/D171</f>
        <v>0.938193877457997</v>
      </c>
      <c r="H171" s="45">
        <v>5404875.81</v>
      </c>
      <c r="I171" s="46">
        <f t="shared" si="11"/>
        <v>8.05700000911625</v>
      </c>
      <c r="K171" s="46">
        <v>12.3</v>
      </c>
      <c r="L171" s="47">
        <v>44637.4375</v>
      </c>
      <c r="M171" s="46">
        <v>556</v>
      </c>
      <c r="S171" s="13" t="s">
        <v>552</v>
      </c>
      <c r="T171" s="13" t="str">
        <f>_xlfn.DISPIMG("ID_B45AC5B0931F41358AA01BD5585B5788",1)</f>
        <v>=DISPIMG("ID_B45AC5B0931F41358AA01BD5585B5788",1)</v>
      </c>
      <c r="U171" s="13" t="s">
        <v>119</v>
      </c>
      <c r="V171" s="52" t="s">
        <v>120</v>
      </c>
    </row>
    <row r="172" customHeight="1" spans="1:23">
      <c r="A172" s="55" t="s">
        <v>1597</v>
      </c>
      <c r="B172" s="45">
        <v>5012116.37</v>
      </c>
      <c r="D172" s="45">
        <v>100.5</v>
      </c>
      <c r="H172" s="45">
        <v>4582076.79</v>
      </c>
      <c r="I172" s="46">
        <f t="shared" si="11"/>
        <v>8.57999990929979</v>
      </c>
      <c r="K172" s="46">
        <v>6.8</v>
      </c>
      <c r="L172" s="47">
        <v>44644.3958333333</v>
      </c>
      <c r="M172" s="46">
        <v>243</v>
      </c>
      <c r="S172" s="13" t="s">
        <v>563</v>
      </c>
      <c r="T172" s="13" t="str">
        <f>_xlfn.DISPIMG("ID_A5C5C48DA77F4825959FA26444F402F2",1)</f>
        <v>=DISPIMG("ID_A5C5C48DA77F4825959FA26444F402F2",1)</v>
      </c>
      <c r="U172" s="13" t="s">
        <v>162</v>
      </c>
      <c r="V172" s="55" t="s">
        <v>1598</v>
      </c>
      <c r="W172" s="52" t="s">
        <v>564</v>
      </c>
    </row>
    <row r="173" customHeight="1" spans="1:23">
      <c r="A173" s="52" t="s">
        <v>1599</v>
      </c>
      <c r="B173" s="45">
        <v>41889629.22</v>
      </c>
      <c r="D173" s="45">
        <f>AVERAGEA(O173:Q173)</f>
        <v>6.6</v>
      </c>
      <c r="E173" s="46">
        <f>R173</f>
        <v>0.9</v>
      </c>
      <c r="H173" s="45">
        <v>39196963.85</v>
      </c>
      <c r="I173" s="46">
        <f t="shared" si="11"/>
        <v>6.4280000089244</v>
      </c>
      <c r="K173" s="46">
        <v>5.4</v>
      </c>
      <c r="L173" s="47">
        <v>44631.4583333333</v>
      </c>
      <c r="M173" s="46">
        <v>65</v>
      </c>
      <c r="N173" s="13">
        <v>3</v>
      </c>
      <c r="O173" s="13">
        <v>1.6</v>
      </c>
      <c r="P173" s="13">
        <v>10</v>
      </c>
      <c r="Q173" s="13">
        <v>8.2</v>
      </c>
      <c r="R173" s="13">
        <v>0.9</v>
      </c>
      <c r="S173" s="13" t="s">
        <v>545</v>
      </c>
      <c r="T173" s="13" t="str">
        <f>_xlfn.DISPIMG("ID_39A08211ED6A4076AB89912F4CD96E32",1)</f>
        <v>=DISPIMG("ID_39A08211ED6A4076AB89912F4CD96E32",1)</v>
      </c>
      <c r="U173" s="13" t="s">
        <v>426</v>
      </c>
      <c r="V173" s="52" t="s">
        <v>506</v>
      </c>
      <c r="W173" s="52" t="s">
        <v>546</v>
      </c>
    </row>
    <row r="174" customHeight="1" spans="1:23">
      <c r="A174" s="53" t="s">
        <v>1600</v>
      </c>
      <c r="B174" s="45">
        <v>1216998.49</v>
      </c>
      <c r="D174" s="45">
        <v>98.4</v>
      </c>
      <c r="F174" s="46">
        <f>100-100*G174</f>
        <v>14.1463418268304</v>
      </c>
      <c r="G174" s="46">
        <f>(100-I174)/D174</f>
        <v>0.858536581731696</v>
      </c>
      <c r="H174" s="45">
        <v>1028120.32</v>
      </c>
      <c r="I174" s="46">
        <f t="shared" si="11"/>
        <v>15.5200003576011</v>
      </c>
      <c r="K174" s="46">
        <v>5.9</v>
      </c>
      <c r="L174" s="47">
        <v>44666.375</v>
      </c>
      <c r="M174" s="46">
        <v>55</v>
      </c>
      <c r="S174" s="13" t="s">
        <v>576</v>
      </c>
      <c r="T174" s="13" t="str">
        <f>_xlfn.DISPIMG("ID_B45AC5B0931F41358AA01BD5585B5788",1)</f>
        <v>=DISPIMG("ID_B45AC5B0931F41358AA01BD5585B5788",1)</v>
      </c>
      <c r="U174" s="13" t="s">
        <v>119</v>
      </c>
      <c r="V174" s="48" t="s">
        <v>577</v>
      </c>
      <c r="W174" s="67" t="s">
        <v>578</v>
      </c>
    </row>
    <row r="175" customHeight="1" spans="1:22">
      <c r="A175" s="53" t="s">
        <v>1601</v>
      </c>
      <c r="B175" s="45">
        <v>3219493.34</v>
      </c>
      <c r="D175" s="45">
        <v>100.4</v>
      </c>
      <c r="F175" s="46">
        <f>100-100*G175</f>
        <v>15.3386453873896</v>
      </c>
      <c r="G175" s="46">
        <f>(100-I175)/D175</f>
        <v>0.846613546126104</v>
      </c>
      <c r="H175" s="45">
        <v>2736569.34</v>
      </c>
      <c r="I175" s="46">
        <f t="shared" si="11"/>
        <v>14.9999999689392</v>
      </c>
      <c r="K175" s="46">
        <v>15.2</v>
      </c>
      <c r="L175" s="47">
        <v>44666.375</v>
      </c>
      <c r="M175" s="46">
        <v>75</v>
      </c>
      <c r="S175" s="13" t="s">
        <v>574</v>
      </c>
      <c r="T175" s="13" t="str">
        <f>_xlfn.DISPIMG("ID_B45AC5B0931F41358AA01BD5585B5788",1)</f>
        <v>=DISPIMG("ID_B45AC5B0931F41358AA01BD5585B5788",1)</v>
      </c>
      <c r="U175" s="13" t="s">
        <v>119</v>
      </c>
      <c r="V175" s="48" t="s">
        <v>451</v>
      </c>
    </row>
    <row r="176" customHeight="1" spans="1:22">
      <c r="A176" s="53" t="s">
        <v>1602</v>
      </c>
      <c r="B176" s="45">
        <v>4726690.59</v>
      </c>
      <c r="D176" s="45">
        <v>100.8</v>
      </c>
      <c r="F176" s="46">
        <f>100-100*G176</f>
        <v>15.8729042206829</v>
      </c>
      <c r="G176" s="46">
        <f>(100-I176)/D176</f>
        <v>0.841270957793171</v>
      </c>
      <c r="H176" s="45">
        <v>4008238.94</v>
      </c>
      <c r="I176" s="46">
        <f t="shared" si="11"/>
        <v>15.1998874544483</v>
      </c>
      <c r="K176" s="46">
        <v>13.6</v>
      </c>
      <c r="L176" s="47">
        <v>44666.375</v>
      </c>
      <c r="M176" s="46">
        <v>80</v>
      </c>
      <c r="S176" s="13" t="s">
        <v>572</v>
      </c>
      <c r="T176" s="13" t="str">
        <f>_xlfn.DISPIMG("ID_B45AC5B0931F41358AA01BD5585B5788",1)</f>
        <v>=DISPIMG("ID_B45AC5B0931F41358AA01BD5585B5788",1)</v>
      </c>
      <c r="U176" s="13" t="s">
        <v>119</v>
      </c>
      <c r="V176" s="48" t="s">
        <v>451</v>
      </c>
    </row>
    <row r="177" customHeight="1" spans="1:22">
      <c r="A177" s="52" t="s">
        <v>1603</v>
      </c>
      <c r="B177" s="45">
        <v>17615792.79</v>
      </c>
      <c r="D177" s="45">
        <v>101</v>
      </c>
      <c r="H177" s="45">
        <v>16460534.14</v>
      </c>
      <c r="I177" s="46">
        <f t="shared" si="11"/>
        <v>6.55808491716483</v>
      </c>
      <c r="K177" s="46">
        <v>7.6</v>
      </c>
      <c r="L177" s="47">
        <v>44676.375</v>
      </c>
      <c r="M177" s="46">
        <v>55</v>
      </c>
      <c r="S177" s="13" t="s">
        <v>614</v>
      </c>
      <c r="T177" s="13" t="str">
        <f t="shared" ref="T177:T182" si="16">_xlfn.DISPIMG("ID_A5C5C48DA77F4825959FA26444F402F2",1)</f>
        <v>=DISPIMG("ID_A5C5C48DA77F4825959FA26444F402F2",1)</v>
      </c>
      <c r="U177" s="13" t="s">
        <v>162</v>
      </c>
      <c r="V177" s="69" t="s">
        <v>560</v>
      </c>
    </row>
    <row r="178" customHeight="1" spans="1:22">
      <c r="A178" s="52" t="s">
        <v>1604</v>
      </c>
      <c r="B178" s="45">
        <v>6909180.11</v>
      </c>
      <c r="D178" s="45">
        <v>102</v>
      </c>
      <c r="H178" s="45">
        <v>6508588.21</v>
      </c>
      <c r="I178" s="46">
        <f t="shared" si="11"/>
        <v>5.79796580234178</v>
      </c>
      <c r="K178" s="46">
        <v>8.2</v>
      </c>
      <c r="L178" s="47">
        <v>44676.4166666667</v>
      </c>
      <c r="M178" s="46">
        <v>54</v>
      </c>
      <c r="S178" s="13" t="s">
        <v>618</v>
      </c>
      <c r="T178" s="13" t="str">
        <f t="shared" si="16"/>
        <v>=DISPIMG("ID_A5C5C48DA77F4825959FA26444F402F2",1)</v>
      </c>
      <c r="U178" s="13" t="s">
        <v>162</v>
      </c>
      <c r="V178" s="69" t="s">
        <v>560</v>
      </c>
    </row>
    <row r="179" customHeight="1" spans="1:22">
      <c r="A179" s="52" t="s">
        <v>1605</v>
      </c>
      <c r="B179" s="45">
        <v>3361372.96</v>
      </c>
      <c r="D179" s="45">
        <v>100.5</v>
      </c>
      <c r="H179" s="45">
        <v>3112078.73</v>
      </c>
      <c r="I179" s="46">
        <f t="shared" si="11"/>
        <v>7.4164406320446</v>
      </c>
      <c r="K179" s="46">
        <v>6.2</v>
      </c>
      <c r="L179" s="47">
        <v>44676.4166666667</v>
      </c>
      <c r="M179" s="46">
        <v>54</v>
      </c>
      <c r="S179" s="13" t="s">
        <v>620</v>
      </c>
      <c r="T179" s="13" t="str">
        <f t="shared" si="16"/>
        <v>=DISPIMG("ID_A5C5C48DA77F4825959FA26444F402F2",1)</v>
      </c>
      <c r="U179" s="13" t="s">
        <v>162</v>
      </c>
      <c r="V179" s="69" t="s">
        <v>560</v>
      </c>
    </row>
    <row r="180" customHeight="1" spans="1:22">
      <c r="A180" s="52" t="s">
        <v>1606</v>
      </c>
      <c r="B180" s="45">
        <v>15493972.14</v>
      </c>
      <c r="D180" s="45">
        <v>101</v>
      </c>
      <c r="H180" s="45">
        <v>14372968.43</v>
      </c>
      <c r="I180" s="46">
        <f t="shared" si="11"/>
        <v>7.23509568670232</v>
      </c>
      <c r="K180" s="46">
        <v>5.88</v>
      </c>
      <c r="L180" s="47">
        <v>44676.375</v>
      </c>
      <c r="M180" s="46">
        <v>55</v>
      </c>
      <c r="S180" s="13" t="s">
        <v>616</v>
      </c>
      <c r="T180" s="13" t="str">
        <f t="shared" si="16"/>
        <v>=DISPIMG("ID_A5C5C48DA77F4825959FA26444F402F2",1)</v>
      </c>
      <c r="U180" s="13" t="s">
        <v>162</v>
      </c>
      <c r="V180" s="69" t="s">
        <v>560</v>
      </c>
    </row>
    <row r="181" customHeight="1" spans="1:22">
      <c r="A181" s="55" t="s">
        <v>1607</v>
      </c>
      <c r="B181" s="45">
        <v>4800721.23</v>
      </c>
      <c r="D181" s="45">
        <v>99</v>
      </c>
      <c r="H181" s="45">
        <v>4351888</v>
      </c>
      <c r="I181" s="46">
        <f t="shared" si="11"/>
        <v>9.34928750278634</v>
      </c>
      <c r="K181" s="46">
        <v>6.5</v>
      </c>
      <c r="L181" s="47">
        <v>44692.3958333333</v>
      </c>
      <c r="M181" s="46">
        <v>187</v>
      </c>
      <c r="S181" s="13" t="s">
        <v>647</v>
      </c>
      <c r="T181" s="13" t="str">
        <f t="shared" si="16"/>
        <v>=DISPIMG("ID_A5C5C48DA77F4825959FA26444F402F2",1)</v>
      </c>
      <c r="U181" s="13" t="s">
        <v>162</v>
      </c>
      <c r="V181" s="55" t="s">
        <v>316</v>
      </c>
    </row>
    <row r="182" customHeight="1" spans="1:22">
      <c r="A182" s="52" t="s">
        <v>1608</v>
      </c>
      <c r="B182" s="45">
        <v>8251241.5</v>
      </c>
      <c r="D182" s="45">
        <v>100</v>
      </c>
      <c r="H182" s="45">
        <v>7682318.4</v>
      </c>
      <c r="I182" s="46">
        <f t="shared" si="11"/>
        <v>6.89499998272987</v>
      </c>
      <c r="K182" s="46">
        <v>8.2</v>
      </c>
      <c r="L182" s="47">
        <v>44691.3958333333</v>
      </c>
      <c r="M182" s="46">
        <v>569</v>
      </c>
      <c r="S182" s="13" t="s">
        <v>644</v>
      </c>
      <c r="T182" s="13" t="str">
        <f t="shared" si="16"/>
        <v>=DISPIMG("ID_A5C5C48DA77F4825959FA26444F402F2",1)</v>
      </c>
      <c r="U182" s="13" t="s">
        <v>162</v>
      </c>
      <c r="V182" s="56" t="s">
        <v>645</v>
      </c>
    </row>
    <row r="183" customHeight="1" spans="1:23">
      <c r="A183" s="52" t="s">
        <v>1609</v>
      </c>
      <c r="B183" s="45">
        <v>39948320.7</v>
      </c>
      <c r="D183" s="45">
        <f>AVERAGEA(O183:Q183)</f>
        <v>4.76666666666667</v>
      </c>
      <c r="E183" s="46">
        <f>R183</f>
        <v>0.3</v>
      </c>
      <c r="H183" s="45">
        <v>35793695.35</v>
      </c>
      <c r="I183" s="46">
        <f t="shared" si="11"/>
        <v>10.399999992991</v>
      </c>
      <c r="K183" s="46">
        <v>5.3</v>
      </c>
      <c r="L183" s="47">
        <v>44687.4583333333</v>
      </c>
      <c r="M183" s="46">
        <v>99</v>
      </c>
      <c r="N183" s="13">
        <v>3</v>
      </c>
      <c r="O183" s="13">
        <v>0.7</v>
      </c>
      <c r="P183" s="13">
        <v>4.3</v>
      </c>
      <c r="Q183" s="13">
        <v>9.3</v>
      </c>
      <c r="R183" s="13">
        <v>0.3</v>
      </c>
      <c r="S183" s="13" t="s">
        <v>635</v>
      </c>
      <c r="T183" s="13" t="str">
        <f>_xlfn.DISPIMG("ID_8594350670894A83994259256103CCA3",1)</f>
        <v>=DISPIMG("ID_8594350670894A83994259256103CCA3",1)</v>
      </c>
      <c r="U183" s="66" t="s">
        <v>623</v>
      </c>
      <c r="V183" s="56" t="s">
        <v>1610</v>
      </c>
      <c r="W183" s="52" t="s">
        <v>636</v>
      </c>
    </row>
    <row r="184" customHeight="1" spans="1:22">
      <c r="A184" s="52" t="s">
        <v>1611</v>
      </c>
      <c r="B184" s="45">
        <v>2963871.3</v>
      </c>
      <c r="D184" s="45">
        <v>101</v>
      </c>
      <c r="H184" s="45">
        <v>2747985.88</v>
      </c>
      <c r="I184" s="46">
        <f t="shared" si="11"/>
        <v>7.28389994531813</v>
      </c>
      <c r="K184" s="46">
        <v>7.6</v>
      </c>
      <c r="L184" s="47">
        <v>44701.3958333333</v>
      </c>
      <c r="M184" s="46">
        <v>177</v>
      </c>
      <c r="S184" s="13" t="s">
        <v>668</v>
      </c>
      <c r="T184" s="13" t="str">
        <f t="shared" ref="T184:T189" si="17">_xlfn.DISPIMG("ID_A5C5C48DA77F4825959FA26444F402F2",1)</f>
        <v>=DISPIMG("ID_A5C5C48DA77F4825959FA26444F402F2",1)</v>
      </c>
      <c r="U184" s="13" t="s">
        <v>162</v>
      </c>
      <c r="V184" s="56" t="s">
        <v>645</v>
      </c>
    </row>
    <row r="185" customHeight="1" spans="1:22">
      <c r="A185" s="55" t="s">
        <v>1612</v>
      </c>
      <c r="B185" s="45">
        <v>8650046.69</v>
      </c>
      <c r="D185" s="45">
        <v>102</v>
      </c>
      <c r="H185" s="45">
        <v>8022053.3</v>
      </c>
      <c r="I185" s="46">
        <f t="shared" si="11"/>
        <v>7.26000000353754</v>
      </c>
      <c r="K185" s="46">
        <v>6.6</v>
      </c>
      <c r="L185" s="47">
        <v>44713.3958333333</v>
      </c>
      <c r="M185" s="46">
        <v>773</v>
      </c>
      <c r="S185" s="13" t="s">
        <v>682</v>
      </c>
      <c r="T185" s="13" t="str">
        <f t="shared" si="17"/>
        <v>=DISPIMG("ID_A5C5C48DA77F4825959FA26444F402F2",1)</v>
      </c>
      <c r="U185" s="13" t="s">
        <v>162</v>
      </c>
      <c r="V185" s="52" t="s">
        <v>539</v>
      </c>
    </row>
    <row r="186" customHeight="1" spans="1:22">
      <c r="A186" s="53" t="s">
        <v>1613</v>
      </c>
      <c r="B186" s="45">
        <v>10429927.09</v>
      </c>
      <c r="D186" s="45">
        <v>102</v>
      </c>
      <c r="F186" s="46">
        <f>100-100*G186</f>
        <v>8.20045175425676</v>
      </c>
      <c r="G186" s="46">
        <f>(100-I186)/D186</f>
        <v>0.917995482457432</v>
      </c>
      <c r="H186" s="45">
        <v>9766118.47</v>
      </c>
      <c r="I186" s="46">
        <f t="shared" si="11"/>
        <v>6.3644607893419</v>
      </c>
      <c r="K186" s="46">
        <v>6.2</v>
      </c>
      <c r="L186" s="47">
        <v>44722.375</v>
      </c>
      <c r="M186" s="46">
        <v>865</v>
      </c>
      <c r="S186" s="13" t="s">
        <v>691</v>
      </c>
      <c r="T186" s="13" t="str">
        <f>_xlfn.DISPIMG("ID_B45AC5B0931F41358AA01BD5585B5788",1)</f>
        <v>=DISPIMG("ID_B45AC5B0931F41358AA01BD5585B5788",1)</v>
      </c>
      <c r="U186" s="13" t="s">
        <v>119</v>
      </c>
      <c r="V186" s="52" t="s">
        <v>539</v>
      </c>
    </row>
    <row r="187" customHeight="1" spans="1:22">
      <c r="A187" s="52" t="s">
        <v>1614</v>
      </c>
      <c r="B187" s="45">
        <v>6019063.96</v>
      </c>
      <c r="D187" s="45">
        <v>98</v>
      </c>
      <c r="F187" s="46">
        <f>100-100*G187</f>
        <v>6.1990503742508</v>
      </c>
      <c r="G187" s="46">
        <f>(100-I187)/D187</f>
        <v>0.938009496257492</v>
      </c>
      <c r="H187" s="45">
        <v>5533020.37</v>
      </c>
      <c r="I187" s="46">
        <f t="shared" si="11"/>
        <v>8.07506936676579</v>
      </c>
      <c r="K187" s="46">
        <v>7.86</v>
      </c>
      <c r="L187" s="47">
        <v>44747.3958333333</v>
      </c>
      <c r="M187" s="46">
        <v>600</v>
      </c>
      <c r="S187" s="13" t="s">
        <v>735</v>
      </c>
      <c r="T187" s="13" t="str">
        <f>_xlfn.DISPIMG("ID_B45AC5B0931F41358AA01BD5585B5788",1)</f>
        <v>=DISPIMG("ID_B45AC5B0931F41358AA01BD5585B5788",1)</v>
      </c>
      <c r="U187" s="13" t="s">
        <v>119</v>
      </c>
      <c r="V187" s="52" t="s">
        <v>539</v>
      </c>
    </row>
    <row r="188" customHeight="1" spans="1:22">
      <c r="A188" s="52" t="s">
        <v>1615</v>
      </c>
      <c r="B188" s="45">
        <v>5055475.07</v>
      </c>
      <c r="D188" s="45">
        <v>98</v>
      </c>
      <c r="H188" s="45">
        <v>4570402.24</v>
      </c>
      <c r="I188" s="46">
        <f t="shared" si="11"/>
        <v>9.59499994132105</v>
      </c>
      <c r="K188" s="46">
        <v>6.8</v>
      </c>
      <c r="L188" s="47">
        <v>44747.4583333333</v>
      </c>
      <c r="M188" s="46">
        <v>226</v>
      </c>
      <c r="S188" s="13" t="s">
        <v>737</v>
      </c>
      <c r="T188" s="13" t="str">
        <f t="shared" si="17"/>
        <v>=DISPIMG("ID_A5C5C48DA77F4825959FA26444F402F2",1)</v>
      </c>
      <c r="U188" s="13" t="s">
        <v>162</v>
      </c>
      <c r="V188" s="52" t="s">
        <v>539</v>
      </c>
    </row>
    <row r="189" customHeight="1" spans="1:22">
      <c r="A189" s="52" t="s">
        <v>1616</v>
      </c>
      <c r="B189" s="45">
        <v>2341184.07</v>
      </c>
      <c r="D189" s="45">
        <v>99.6</v>
      </c>
      <c r="F189" s="46">
        <f t="shared" ref="F189:F200" si="18">100-100*G189</f>
        <v>7.58292467872779</v>
      </c>
      <c r="G189" s="46">
        <f t="shared" ref="G189:G205" si="19">(100-I189)/D189</f>
        <v>0.924170753212722</v>
      </c>
      <c r="H189" s="45">
        <v>2154999.23</v>
      </c>
      <c r="I189" s="46">
        <f t="shared" si="11"/>
        <v>7.95259298001288</v>
      </c>
      <c r="K189" s="46">
        <v>8.78</v>
      </c>
      <c r="L189" s="47">
        <v>44755.375</v>
      </c>
      <c r="M189" s="46">
        <v>167</v>
      </c>
      <c r="S189" s="13" t="s">
        <v>750</v>
      </c>
      <c r="T189" s="13" t="str">
        <f t="shared" ref="T189:T205" si="20">_xlfn.DISPIMG("ID_B45AC5B0931F41358AA01BD5585B5788",1)</f>
        <v>=DISPIMG("ID_B45AC5B0931F41358AA01BD5585B5788",1)</v>
      </c>
      <c r="U189" s="13" t="s">
        <v>119</v>
      </c>
      <c r="V189" s="52" t="s">
        <v>539</v>
      </c>
    </row>
    <row r="190" customHeight="1" spans="1:22">
      <c r="A190" s="52" t="s">
        <v>1617</v>
      </c>
      <c r="B190" s="45">
        <v>1846394.22</v>
      </c>
      <c r="D190" s="45">
        <v>98</v>
      </c>
      <c r="F190" s="46">
        <f t="shared" si="18"/>
        <v>7.73188994166109</v>
      </c>
      <c r="G190" s="46">
        <f t="shared" si="19"/>
        <v>0.922681100583389</v>
      </c>
      <c r="H190" s="45">
        <v>1669560.39</v>
      </c>
      <c r="I190" s="46">
        <f t="shared" si="11"/>
        <v>9.57725214282787</v>
      </c>
      <c r="K190" s="46">
        <v>5.6</v>
      </c>
      <c r="L190" s="47">
        <v>44755.375</v>
      </c>
      <c r="M190" s="46">
        <v>175</v>
      </c>
      <c r="S190" s="13" t="s">
        <v>748</v>
      </c>
      <c r="T190" s="13" t="str">
        <f t="shared" si="20"/>
        <v>=DISPIMG("ID_B45AC5B0931F41358AA01BD5585B5788",1)</v>
      </c>
      <c r="U190" s="13" t="s">
        <v>119</v>
      </c>
      <c r="V190" s="52" t="s">
        <v>539</v>
      </c>
    </row>
    <row r="191" customHeight="1" spans="1:22">
      <c r="A191" s="52" t="s">
        <v>1618</v>
      </c>
      <c r="B191" s="45">
        <v>2247439.6</v>
      </c>
      <c r="D191" s="45">
        <v>100.4</v>
      </c>
      <c r="F191" s="46">
        <f t="shared" si="18"/>
        <v>9.71514829763794</v>
      </c>
      <c r="G191" s="46">
        <f t="shared" si="19"/>
        <v>0.902848517023621</v>
      </c>
      <c r="H191" s="45">
        <v>2037213.9</v>
      </c>
      <c r="I191" s="46">
        <f t="shared" si="11"/>
        <v>9.35400889082848</v>
      </c>
      <c r="K191" s="46">
        <v>10.9</v>
      </c>
      <c r="L191" s="47">
        <v>44757.375</v>
      </c>
      <c r="M191" s="46">
        <v>133</v>
      </c>
      <c r="S191" s="13" t="s">
        <v>757</v>
      </c>
      <c r="T191" s="13" t="str">
        <f t="shared" si="20"/>
        <v>=DISPIMG("ID_B45AC5B0931F41358AA01BD5585B5788",1)</v>
      </c>
      <c r="U191" s="13" t="s">
        <v>119</v>
      </c>
      <c r="V191" s="52" t="s">
        <v>1619</v>
      </c>
    </row>
    <row r="192" customHeight="1" spans="1:22">
      <c r="A192" s="65" t="s">
        <v>1620</v>
      </c>
      <c r="B192" s="45">
        <v>3440055.59</v>
      </c>
      <c r="D192" s="45">
        <v>100.4</v>
      </c>
      <c r="F192" s="46">
        <f t="shared" si="18"/>
        <v>5.77689237642541</v>
      </c>
      <c r="G192" s="46">
        <f t="shared" si="19"/>
        <v>0.942231076235746</v>
      </c>
      <c r="H192" s="45">
        <v>3254292.59</v>
      </c>
      <c r="I192" s="46">
        <f t="shared" si="11"/>
        <v>5.3999999459311</v>
      </c>
      <c r="K192" s="46">
        <v>8.36</v>
      </c>
      <c r="L192" s="47">
        <v>44778.4583333333</v>
      </c>
      <c r="M192" s="46">
        <v>128</v>
      </c>
      <c r="S192" s="13" t="s">
        <v>776</v>
      </c>
      <c r="T192" s="13" t="str">
        <f t="shared" si="20"/>
        <v>=DISPIMG("ID_B45AC5B0931F41358AA01BD5585B5788",1)</v>
      </c>
      <c r="U192" s="13" t="s">
        <v>119</v>
      </c>
      <c r="V192" s="65" t="s">
        <v>777</v>
      </c>
    </row>
    <row r="193" customHeight="1" spans="1:22">
      <c r="A193" s="65" t="s">
        <v>1621</v>
      </c>
      <c r="B193" s="45">
        <v>3748092.96</v>
      </c>
      <c r="D193" s="45">
        <v>100.8</v>
      </c>
      <c r="F193" s="46">
        <f t="shared" si="18"/>
        <v>6.24999992588823</v>
      </c>
      <c r="G193" s="46">
        <f t="shared" si="19"/>
        <v>0.937500000741118</v>
      </c>
      <c r="H193" s="45">
        <v>3541947.85</v>
      </c>
      <c r="I193" s="46">
        <f t="shared" si="11"/>
        <v>5.49999992529534</v>
      </c>
      <c r="K193" s="46">
        <v>5.18</v>
      </c>
      <c r="L193" s="47">
        <v>44778.4583333333</v>
      </c>
      <c r="M193" s="46">
        <v>125</v>
      </c>
      <c r="S193" s="13" t="s">
        <v>779</v>
      </c>
      <c r="T193" s="13" t="str">
        <f t="shared" si="20"/>
        <v>=DISPIMG("ID_B45AC5B0931F41358AA01BD5585B5788",1)</v>
      </c>
      <c r="U193" s="13" t="s">
        <v>119</v>
      </c>
      <c r="V193" s="65" t="s">
        <v>777</v>
      </c>
    </row>
    <row r="194" customHeight="1" spans="1:22">
      <c r="A194" s="65" t="s">
        <v>1622</v>
      </c>
      <c r="B194" s="45">
        <v>6335956.86</v>
      </c>
      <c r="D194" s="45">
        <v>98.8</v>
      </c>
      <c r="F194" s="46">
        <f t="shared" si="18"/>
        <v>6.83198379975741</v>
      </c>
      <c r="G194" s="46">
        <f t="shared" si="19"/>
        <v>0.931680162002426</v>
      </c>
      <c r="H194" s="45">
        <v>5832248.29</v>
      </c>
      <c r="I194" s="46">
        <f t="shared" ref="I194:I224" si="21">100-100*H194/B194</f>
        <v>7.94999999416032</v>
      </c>
      <c r="K194" s="46">
        <v>38.6</v>
      </c>
      <c r="L194" s="47">
        <v>44789.4583333333</v>
      </c>
      <c r="M194" s="46">
        <v>98</v>
      </c>
      <c r="S194" s="13" t="s">
        <v>801</v>
      </c>
      <c r="T194" s="13" t="str">
        <f t="shared" si="20"/>
        <v>=DISPIMG("ID_B45AC5B0931F41358AA01BD5585B5788",1)</v>
      </c>
      <c r="U194" s="13" t="s">
        <v>119</v>
      </c>
      <c r="V194" s="65" t="s">
        <v>777</v>
      </c>
    </row>
    <row r="195" customHeight="1" spans="1:22">
      <c r="A195" s="65" t="s">
        <v>1623</v>
      </c>
      <c r="B195" s="45">
        <v>2790090.78</v>
      </c>
      <c r="D195" s="45">
        <v>99.6</v>
      </c>
      <c r="F195" s="46">
        <f t="shared" si="18"/>
        <v>7.80120493709221</v>
      </c>
      <c r="G195" s="46">
        <f t="shared" si="19"/>
        <v>0.921987950629078</v>
      </c>
      <c r="H195" s="45">
        <v>2562140.36</v>
      </c>
      <c r="I195" s="46">
        <f t="shared" si="21"/>
        <v>8.17000011734385</v>
      </c>
      <c r="K195" s="46">
        <v>5.6</v>
      </c>
      <c r="L195" s="47">
        <v>44789.4583333333</v>
      </c>
      <c r="M195" s="46">
        <v>80</v>
      </c>
      <c r="S195" s="13" t="s">
        <v>803</v>
      </c>
      <c r="T195" s="13" t="str">
        <f t="shared" si="20"/>
        <v>=DISPIMG("ID_B45AC5B0931F41358AA01BD5585B5788",1)</v>
      </c>
      <c r="U195" s="13" t="s">
        <v>119</v>
      </c>
      <c r="V195" s="65" t="s">
        <v>777</v>
      </c>
    </row>
    <row r="196" s="44" customFormat="1" customHeight="1" spans="1:23">
      <c r="A196" s="70" t="s">
        <v>1624</v>
      </c>
      <c r="B196" s="71">
        <v>6396994.29</v>
      </c>
      <c r="C196" s="71"/>
      <c r="D196" s="71">
        <v>98</v>
      </c>
      <c r="E196" s="72"/>
      <c r="F196" s="72">
        <f t="shared" si="18"/>
        <v>40.7584326032989</v>
      </c>
      <c r="G196" s="72">
        <f t="shared" si="19"/>
        <v>0.592415673967011</v>
      </c>
      <c r="H196" s="71">
        <v>3713886.09</v>
      </c>
      <c r="I196" s="72">
        <f t="shared" si="21"/>
        <v>41.943263951233</v>
      </c>
      <c r="K196" s="72">
        <v>6.6</v>
      </c>
      <c r="L196" s="75">
        <v>44789.4583333333</v>
      </c>
      <c r="M196" s="72">
        <v>87</v>
      </c>
      <c r="N196" s="44"/>
      <c r="O196" s="44"/>
      <c r="P196" s="44"/>
      <c r="Q196" s="44"/>
      <c r="R196" s="44"/>
      <c r="S196" s="44" t="s">
        <v>1625</v>
      </c>
      <c r="T196" s="44" t="str">
        <f t="shared" si="20"/>
        <v>=DISPIMG("ID_B45AC5B0931F41358AA01BD5585B5788",1)</v>
      </c>
      <c r="U196" s="44" t="s">
        <v>119</v>
      </c>
      <c r="V196" s="70" t="s">
        <v>777</v>
      </c>
      <c r="W196" s="76"/>
    </row>
    <row r="197" customHeight="1" spans="1:22">
      <c r="A197" s="65" t="s">
        <v>1626</v>
      </c>
      <c r="B197" s="45">
        <v>1922719.06</v>
      </c>
      <c r="D197" s="45">
        <v>102</v>
      </c>
      <c r="F197" s="46">
        <f t="shared" si="18"/>
        <v>7.24509817515472</v>
      </c>
      <c r="G197" s="46">
        <f t="shared" si="19"/>
        <v>0.927549018248453</v>
      </c>
      <c r="H197" s="45">
        <v>1819084.5</v>
      </c>
      <c r="I197" s="46">
        <f t="shared" si="21"/>
        <v>5.39000013865781</v>
      </c>
      <c r="K197" s="46">
        <v>8.6</v>
      </c>
      <c r="L197" s="47">
        <v>44796.4583333333</v>
      </c>
      <c r="M197" s="46">
        <v>30</v>
      </c>
      <c r="S197" s="13" t="s">
        <v>813</v>
      </c>
      <c r="T197" s="13" t="str">
        <f t="shared" si="20"/>
        <v>=DISPIMG("ID_B45AC5B0931F41358AA01BD5585B5788",1)</v>
      </c>
      <c r="U197" s="13" t="s">
        <v>119</v>
      </c>
      <c r="V197" s="65" t="s">
        <v>777</v>
      </c>
    </row>
    <row r="198" customHeight="1" spans="1:23">
      <c r="A198" s="53" t="s">
        <v>1627</v>
      </c>
      <c r="B198" s="45">
        <v>2670624.46</v>
      </c>
      <c r="D198" s="45">
        <v>99.2</v>
      </c>
      <c r="F198" s="46">
        <f t="shared" si="18"/>
        <v>7.09979852306685</v>
      </c>
      <c r="G198" s="46">
        <f t="shared" si="19"/>
        <v>0.929002014769331</v>
      </c>
      <c r="H198" s="45">
        <v>2461167.38</v>
      </c>
      <c r="I198" s="46">
        <f t="shared" si="21"/>
        <v>7.84300013488232</v>
      </c>
      <c r="K198" s="46">
        <v>4.86</v>
      </c>
      <c r="L198" s="47">
        <v>44805.375</v>
      </c>
      <c r="M198" s="46">
        <v>163</v>
      </c>
      <c r="S198" s="13" t="s">
        <v>845</v>
      </c>
      <c r="T198" s="13" t="str">
        <f t="shared" si="20"/>
        <v>=DISPIMG("ID_B45AC5B0931F41358AA01BD5585B5788",1)</v>
      </c>
      <c r="U198" s="13" t="s">
        <v>119</v>
      </c>
      <c r="V198" s="53" t="s">
        <v>846</v>
      </c>
      <c r="W198" s="53" t="s">
        <v>847</v>
      </c>
    </row>
    <row r="199" customHeight="1" spans="1:23">
      <c r="A199" s="52" t="s">
        <v>1628</v>
      </c>
      <c r="B199" s="45">
        <v>2090450.94</v>
      </c>
      <c r="D199" s="45">
        <v>98</v>
      </c>
      <c r="F199" s="46">
        <f t="shared" si="18"/>
        <v>7.11224493124953</v>
      </c>
      <c r="G199" s="46">
        <f t="shared" si="19"/>
        <v>0.928877550687505</v>
      </c>
      <c r="H199" s="45">
        <v>1902937.49</v>
      </c>
      <c r="I199" s="46">
        <f t="shared" si="21"/>
        <v>8.97000003262454</v>
      </c>
      <c r="K199" s="46">
        <v>8.3</v>
      </c>
      <c r="L199" s="47">
        <v>44805.375</v>
      </c>
      <c r="M199" s="46">
        <v>145</v>
      </c>
      <c r="S199" s="13" t="s">
        <v>849</v>
      </c>
      <c r="T199" s="13" t="str">
        <f t="shared" si="20"/>
        <v>=DISPIMG("ID_B45AC5B0931F41358AA01BD5585B5788",1)</v>
      </c>
      <c r="U199" s="13" t="s">
        <v>119</v>
      </c>
      <c r="V199" s="53" t="s">
        <v>846</v>
      </c>
      <c r="W199" s="52" t="s">
        <v>850</v>
      </c>
    </row>
    <row r="200" customHeight="1" spans="1:23">
      <c r="A200" s="53" t="s">
        <v>1629</v>
      </c>
      <c r="B200" s="45">
        <v>3657912.02</v>
      </c>
      <c r="D200" s="45">
        <v>98</v>
      </c>
      <c r="F200" s="46">
        <f t="shared" si="18"/>
        <v>6.7137782508135</v>
      </c>
      <c r="G200" s="46">
        <f t="shared" si="19"/>
        <v>0.932862217491865</v>
      </c>
      <c r="H200" s="45">
        <v>3344081.36</v>
      </c>
      <c r="I200" s="46">
        <f t="shared" si="21"/>
        <v>8.57950268579724</v>
      </c>
      <c r="K200" s="46">
        <v>7.36</v>
      </c>
      <c r="L200" s="47">
        <v>44809.4583333333</v>
      </c>
      <c r="M200" s="46">
        <v>70</v>
      </c>
      <c r="S200" s="13" t="s">
        <v>856</v>
      </c>
      <c r="T200" s="13" t="str">
        <f t="shared" si="20"/>
        <v>=DISPIMG("ID_B45AC5B0931F41358AA01BD5585B5788",1)</v>
      </c>
      <c r="U200" s="13" t="s">
        <v>119</v>
      </c>
      <c r="V200" s="77" t="s">
        <v>853</v>
      </c>
      <c r="W200" s="52" t="s">
        <v>854</v>
      </c>
    </row>
    <row r="201" customHeight="1" spans="1:23">
      <c r="A201" s="52" t="s">
        <v>1630</v>
      </c>
      <c r="B201" s="45">
        <v>2890267.28</v>
      </c>
      <c r="G201" s="46" t="e">
        <f t="shared" si="19"/>
        <v>#DIV/0!</v>
      </c>
      <c r="H201" s="45">
        <v>2735088.83</v>
      </c>
      <c r="I201" s="46">
        <f t="shared" si="21"/>
        <v>5.36899999089357</v>
      </c>
      <c r="K201" s="46">
        <v>7.36</v>
      </c>
      <c r="L201" s="47">
        <v>44818.4583333333</v>
      </c>
      <c r="M201" s="46">
        <v>48</v>
      </c>
      <c r="S201" s="13" t="s">
        <v>866</v>
      </c>
      <c r="T201" s="13" t="str">
        <f t="shared" si="20"/>
        <v>=DISPIMG("ID_B45AC5B0931F41358AA01BD5585B5788",1)</v>
      </c>
      <c r="U201" s="13" t="s">
        <v>119</v>
      </c>
      <c r="V201" s="77" t="s">
        <v>853</v>
      </c>
      <c r="W201" s="52" t="s">
        <v>867</v>
      </c>
    </row>
    <row r="202" customHeight="1" spans="1:23">
      <c r="A202" s="53" t="s">
        <v>1631</v>
      </c>
      <c r="B202" s="45">
        <v>12132300.82</v>
      </c>
      <c r="D202" s="45">
        <v>101.6</v>
      </c>
      <c r="F202" s="46">
        <f>100-100*G202</f>
        <v>8.35125495305354</v>
      </c>
      <c r="G202" s="46">
        <f t="shared" si="19"/>
        <v>0.916487450469465</v>
      </c>
      <c r="H202" s="45">
        <v>11297007.07</v>
      </c>
      <c r="I202" s="46">
        <f t="shared" si="21"/>
        <v>6.8848750323024</v>
      </c>
      <c r="K202" s="46">
        <v>9.58</v>
      </c>
      <c r="L202" s="47">
        <v>44809.4583333333</v>
      </c>
      <c r="M202" s="46">
        <v>184</v>
      </c>
      <c r="S202" s="13" t="s">
        <v>852</v>
      </c>
      <c r="T202" s="13" t="str">
        <f t="shared" si="20"/>
        <v>=DISPIMG("ID_B45AC5B0931F41358AA01BD5585B5788",1)</v>
      </c>
      <c r="U202" s="13" t="s">
        <v>119</v>
      </c>
      <c r="V202" s="77" t="s">
        <v>853</v>
      </c>
      <c r="W202" s="52" t="s">
        <v>854</v>
      </c>
    </row>
    <row r="203" customHeight="1" spans="1:22">
      <c r="A203" s="65" t="s">
        <v>1632</v>
      </c>
      <c r="B203" s="45">
        <v>1711708.18</v>
      </c>
      <c r="D203" s="45">
        <v>98</v>
      </c>
      <c r="F203" s="46">
        <f>100-100*G203</f>
        <v>2.5510205214288</v>
      </c>
      <c r="G203" s="46">
        <f t="shared" si="19"/>
        <v>0.974489794785712</v>
      </c>
      <c r="H203" s="45">
        <v>1634681.31</v>
      </c>
      <c r="I203" s="46">
        <f t="shared" si="21"/>
        <v>4.50000011100022</v>
      </c>
      <c r="K203" s="46">
        <v>5.88</v>
      </c>
      <c r="L203" s="47">
        <v>44811.4583333333</v>
      </c>
      <c r="M203" s="46">
        <v>8</v>
      </c>
      <c r="S203" s="13" t="s">
        <v>858</v>
      </c>
      <c r="T203" s="13" t="str">
        <f t="shared" si="20"/>
        <v>=DISPIMG("ID_B45AC5B0931F41358AA01BD5585B5788",1)</v>
      </c>
      <c r="U203" s="13" t="s">
        <v>119</v>
      </c>
      <c r="V203" s="65" t="s">
        <v>859</v>
      </c>
    </row>
    <row r="204" customHeight="1" spans="1:22">
      <c r="A204" s="52" t="s">
        <v>1633</v>
      </c>
      <c r="B204" s="45">
        <v>4612306.69</v>
      </c>
      <c r="D204" s="45">
        <v>98.8</v>
      </c>
      <c r="F204" s="46">
        <f>100-100*G204</f>
        <v>6.35323883981546</v>
      </c>
      <c r="G204" s="46">
        <f t="shared" si="19"/>
        <v>0.936467611601845</v>
      </c>
      <c r="H204" s="45">
        <v>4267444.52</v>
      </c>
      <c r="I204" s="46">
        <f t="shared" si="21"/>
        <v>7.47699997373768</v>
      </c>
      <c r="K204" s="46">
        <v>9.3</v>
      </c>
      <c r="L204" s="47">
        <v>44812.3958333333</v>
      </c>
      <c r="M204" s="46">
        <v>333</v>
      </c>
      <c r="S204" s="13" t="s">
        <v>861</v>
      </c>
      <c r="T204" s="13" t="str">
        <f t="shared" si="20"/>
        <v>=DISPIMG("ID_B45AC5B0931F41358AA01BD5585B5788",1)</v>
      </c>
      <c r="U204" s="13" t="s">
        <v>119</v>
      </c>
      <c r="V204" s="52" t="s">
        <v>464</v>
      </c>
    </row>
    <row r="205" customHeight="1" spans="1:23">
      <c r="A205" s="52" t="s">
        <v>1634</v>
      </c>
      <c r="B205" s="45">
        <v>4572130</v>
      </c>
      <c r="D205" s="45">
        <v>101.2</v>
      </c>
      <c r="F205" s="46">
        <f>100-100*G205</f>
        <v>6.50988132783081</v>
      </c>
      <c r="G205" s="46">
        <f t="shared" si="19"/>
        <v>0.934901186721692</v>
      </c>
      <c r="H205" s="45">
        <v>4325783.64</v>
      </c>
      <c r="I205" s="46">
        <f t="shared" si="21"/>
        <v>5.38799990376478</v>
      </c>
      <c r="K205" s="46">
        <v>7.66</v>
      </c>
      <c r="L205" s="47">
        <v>44833.3958333333</v>
      </c>
      <c r="M205" s="46">
        <v>236</v>
      </c>
      <c r="S205" s="13" t="s">
        <v>877</v>
      </c>
      <c r="T205" s="13" t="str">
        <f t="shared" si="20"/>
        <v>=DISPIMG("ID_B45AC5B0931F41358AA01BD5585B5788",1)</v>
      </c>
      <c r="U205" s="13" t="s">
        <v>119</v>
      </c>
      <c r="V205" s="52" t="s">
        <v>539</v>
      </c>
      <c r="W205" s="52" t="s">
        <v>878</v>
      </c>
    </row>
    <row r="206" customHeight="1" spans="1:23">
      <c r="A206" s="52" t="s">
        <v>1635</v>
      </c>
      <c r="B206" s="45">
        <v>2949943.52</v>
      </c>
      <c r="D206" s="45">
        <v>98</v>
      </c>
      <c r="H206" s="45">
        <v>2637984.32</v>
      </c>
      <c r="I206" s="46">
        <f t="shared" si="21"/>
        <v>10.5750906037686</v>
      </c>
      <c r="K206" s="46">
        <v>11.6</v>
      </c>
      <c r="L206" s="47">
        <v>44834.375</v>
      </c>
      <c r="M206" s="46">
        <v>179</v>
      </c>
      <c r="S206" s="13" t="s">
        <v>880</v>
      </c>
      <c r="T206" s="13" t="str">
        <f>_xlfn.DISPIMG("ID_A5C5C48DA77F4825959FA26444F402F2",1)</f>
        <v>=DISPIMG("ID_A5C5C48DA77F4825959FA26444F402F2",1)</v>
      </c>
      <c r="U206" s="13" t="s">
        <v>162</v>
      </c>
      <c r="V206" s="67" t="s">
        <v>1636</v>
      </c>
      <c r="W206" s="67" t="s">
        <v>881</v>
      </c>
    </row>
    <row r="207" customHeight="1" spans="1:22">
      <c r="A207" s="73" t="s">
        <v>1637</v>
      </c>
      <c r="B207" s="45">
        <v>9721538.55</v>
      </c>
      <c r="D207" s="45">
        <v>100.4</v>
      </c>
      <c r="F207" s="46">
        <f t="shared" ref="F207:F224" si="22">100-100*G207</f>
        <v>6.56426860118393</v>
      </c>
      <c r="G207" s="46">
        <f t="shared" ref="G207:G224" si="23">(100-I207)/D207</f>
        <v>0.934357313988161</v>
      </c>
      <c r="H207" s="45">
        <v>9119724.21</v>
      </c>
      <c r="I207" s="46">
        <f t="shared" si="21"/>
        <v>6.19052567558866</v>
      </c>
      <c r="K207" s="46">
        <v>6.8</v>
      </c>
      <c r="L207" s="47">
        <v>44859.375</v>
      </c>
      <c r="M207" s="46">
        <v>861</v>
      </c>
      <c r="S207" s="13" t="s">
        <v>902</v>
      </c>
      <c r="T207" s="13" t="str">
        <f t="shared" ref="T207:T224" si="24">_xlfn.DISPIMG("ID_B45AC5B0931F41358AA01BD5585B5788",1)</f>
        <v>=DISPIMG("ID_B45AC5B0931F41358AA01BD5585B5788",1)</v>
      </c>
      <c r="U207" s="13" t="s">
        <v>119</v>
      </c>
      <c r="V207" s="52" t="s">
        <v>539</v>
      </c>
    </row>
    <row r="208" customHeight="1" spans="1:23">
      <c r="A208" s="65" t="s">
        <v>1638</v>
      </c>
      <c r="B208" s="45">
        <v>5912834.83</v>
      </c>
      <c r="C208" s="45">
        <v>5007063.958</v>
      </c>
      <c r="D208" s="45">
        <v>99.2</v>
      </c>
      <c r="F208" s="46">
        <f t="shared" si="22"/>
        <v>7.69342695113127</v>
      </c>
      <c r="G208" s="46">
        <f t="shared" si="23"/>
        <v>0.923065730488687</v>
      </c>
      <c r="H208" s="45">
        <v>5414271.72</v>
      </c>
      <c r="I208" s="46">
        <f t="shared" si="21"/>
        <v>8.43187953552221</v>
      </c>
      <c r="K208" s="46">
        <v>7.6</v>
      </c>
      <c r="L208" s="47">
        <v>44866.4583333333</v>
      </c>
      <c r="M208" s="46">
        <v>107</v>
      </c>
      <c r="S208" s="13" t="s">
        <v>914</v>
      </c>
      <c r="T208" s="13" t="str">
        <f t="shared" si="24"/>
        <v>=DISPIMG("ID_B45AC5B0931F41358AA01BD5585B5788",1)</v>
      </c>
      <c r="U208" s="13" t="s">
        <v>119</v>
      </c>
      <c r="V208" s="52" t="s">
        <v>912</v>
      </c>
      <c r="W208" s="78" t="s">
        <v>915</v>
      </c>
    </row>
    <row r="209" customHeight="1" spans="1:22">
      <c r="A209" s="52" t="s">
        <v>1639</v>
      </c>
      <c r="B209" s="45">
        <v>5498924.06</v>
      </c>
      <c r="C209" s="45">
        <v>5150476.13</v>
      </c>
      <c r="D209" s="45">
        <v>101.6</v>
      </c>
      <c r="F209" s="46">
        <f t="shared" si="22"/>
        <v>7.83796431750125</v>
      </c>
      <c r="G209" s="46">
        <f t="shared" si="23"/>
        <v>0.921620356824988</v>
      </c>
      <c r="H209" s="45">
        <v>5149007.08</v>
      </c>
      <c r="I209" s="46">
        <f t="shared" si="21"/>
        <v>6.36337174658127</v>
      </c>
      <c r="K209" s="46">
        <v>9.6</v>
      </c>
      <c r="L209" s="47">
        <v>44866.4583333333</v>
      </c>
      <c r="M209" s="46">
        <v>107</v>
      </c>
      <c r="S209" s="13" t="s">
        <v>911</v>
      </c>
      <c r="T209" s="13" t="str">
        <f t="shared" si="24"/>
        <v>=DISPIMG("ID_B45AC5B0931F41358AA01BD5585B5788",1)</v>
      </c>
      <c r="U209" s="13" t="s">
        <v>119</v>
      </c>
      <c r="V209" s="52" t="s">
        <v>912</v>
      </c>
    </row>
    <row r="210" customHeight="1" spans="1:22">
      <c r="A210" s="65" t="s">
        <v>1640</v>
      </c>
      <c r="B210" s="45">
        <v>13173256.76</v>
      </c>
      <c r="C210" s="45">
        <v>11967601.79</v>
      </c>
      <c r="D210" s="45">
        <v>100.4</v>
      </c>
      <c r="F210" s="46">
        <f t="shared" si="22"/>
        <v>9.56024102162408</v>
      </c>
      <c r="G210" s="46">
        <f t="shared" si="23"/>
        <v>0.904397589783759</v>
      </c>
      <c r="H210" s="45">
        <v>11961517.11</v>
      </c>
      <c r="I210" s="46">
        <f t="shared" si="21"/>
        <v>9.19848198571057</v>
      </c>
      <c r="K210" s="46">
        <v>6.8</v>
      </c>
      <c r="L210" s="47">
        <v>44893.4583333333</v>
      </c>
      <c r="M210" s="46">
        <v>349</v>
      </c>
      <c r="S210" s="13" t="s">
        <v>951</v>
      </c>
      <c r="T210" s="13" t="str">
        <f t="shared" si="24"/>
        <v>=DISPIMG("ID_B45AC5B0931F41358AA01BD5585B5788",1)</v>
      </c>
      <c r="U210" s="13" t="s">
        <v>119</v>
      </c>
      <c r="V210" s="65" t="s">
        <v>952</v>
      </c>
    </row>
    <row r="211" customHeight="1" spans="1:23">
      <c r="A211" s="53" t="s">
        <v>1641</v>
      </c>
      <c r="B211" s="45">
        <v>6466205.68</v>
      </c>
      <c r="D211" s="45">
        <v>98.4</v>
      </c>
      <c r="F211" s="46">
        <f t="shared" si="22"/>
        <v>6.95041860974068</v>
      </c>
      <c r="G211" s="46">
        <f t="shared" si="23"/>
        <v>0.930495813902593</v>
      </c>
      <c r="H211" s="45">
        <v>5920508.88</v>
      </c>
      <c r="I211" s="46">
        <f t="shared" si="21"/>
        <v>8.43921191198483</v>
      </c>
      <c r="K211" s="46">
        <v>6.1</v>
      </c>
      <c r="L211" s="47">
        <v>44915.3958333333</v>
      </c>
      <c r="M211" s="46">
        <v>59</v>
      </c>
      <c r="S211" s="13" t="s">
        <v>969</v>
      </c>
      <c r="T211" s="13" t="str">
        <f t="shared" si="24"/>
        <v>=DISPIMG("ID_B45AC5B0931F41358AA01BD5585B5788",1)</v>
      </c>
      <c r="U211" s="13" t="s">
        <v>119</v>
      </c>
      <c r="V211" s="52" t="s">
        <v>560</v>
      </c>
      <c r="W211" s="67" t="s">
        <v>970</v>
      </c>
    </row>
    <row r="212" customHeight="1" spans="1:22">
      <c r="A212" s="52" t="s">
        <v>1642</v>
      </c>
      <c r="B212" s="45">
        <v>5945466.84</v>
      </c>
      <c r="D212" s="45">
        <v>99.6</v>
      </c>
      <c r="F212" s="46">
        <f t="shared" si="22"/>
        <v>6.27510031953518</v>
      </c>
      <c r="G212" s="46">
        <f t="shared" si="23"/>
        <v>0.937248996804648</v>
      </c>
      <c r="H212" s="45">
        <v>5550093.3</v>
      </c>
      <c r="I212" s="46">
        <f t="shared" si="21"/>
        <v>6.64999991825705</v>
      </c>
      <c r="K212" s="46">
        <v>7.2</v>
      </c>
      <c r="L212" s="47">
        <v>44916.3958333333</v>
      </c>
      <c r="M212" s="46">
        <v>340</v>
      </c>
      <c r="S212" s="13" t="s">
        <v>972</v>
      </c>
      <c r="T212" s="13" t="str">
        <f t="shared" si="24"/>
        <v>=DISPIMG("ID_B45AC5B0931F41358AA01BD5585B5788",1)</v>
      </c>
      <c r="U212" s="13" t="s">
        <v>119</v>
      </c>
      <c r="V212" s="52" t="s">
        <v>464</v>
      </c>
    </row>
    <row r="213" customHeight="1" spans="1:23">
      <c r="A213" s="52" t="s">
        <v>1643</v>
      </c>
      <c r="B213" s="45">
        <v>51854881.28</v>
      </c>
      <c r="D213" s="45">
        <v>98.8</v>
      </c>
      <c r="F213" s="46">
        <f t="shared" si="22"/>
        <v>6.51310787635666</v>
      </c>
      <c r="G213" s="46">
        <f t="shared" si="23"/>
        <v>0.934868921236433</v>
      </c>
      <c r="H213" s="45">
        <v>47895786.72</v>
      </c>
      <c r="I213" s="46">
        <f t="shared" si="21"/>
        <v>7.63495058184039</v>
      </c>
      <c r="K213" s="46">
        <v>6.8</v>
      </c>
      <c r="L213" s="47">
        <v>44936.3958333333</v>
      </c>
      <c r="M213" s="46">
        <v>496</v>
      </c>
      <c r="S213" s="13" t="s">
        <v>981</v>
      </c>
      <c r="T213" s="13" t="str">
        <f t="shared" si="24"/>
        <v>=DISPIMG("ID_B45AC5B0931F41358AA01BD5585B5788",1)</v>
      </c>
      <c r="U213" s="13" t="s">
        <v>119</v>
      </c>
      <c r="V213" s="52" t="s">
        <v>982</v>
      </c>
      <c r="W213" s="52" t="s">
        <v>983</v>
      </c>
    </row>
    <row r="214" customHeight="1" spans="1:23">
      <c r="A214" s="52" t="s">
        <v>1644</v>
      </c>
      <c r="B214" s="45">
        <v>19265166.66</v>
      </c>
      <c r="D214" s="45">
        <v>102</v>
      </c>
      <c r="F214" s="46">
        <f t="shared" si="22"/>
        <v>6.70817956850985</v>
      </c>
      <c r="G214" s="46">
        <f t="shared" si="23"/>
        <v>0.932918204314901</v>
      </c>
      <c r="H214" s="45">
        <v>18332281.18</v>
      </c>
      <c r="I214" s="46">
        <f t="shared" si="21"/>
        <v>4.84234315988004</v>
      </c>
      <c r="K214" s="46">
        <v>9.6</v>
      </c>
      <c r="L214" s="47">
        <v>44955.3958333333</v>
      </c>
      <c r="M214" s="46">
        <v>1008</v>
      </c>
      <c r="S214" s="13" t="s">
        <v>1004</v>
      </c>
      <c r="T214" s="13" t="str">
        <f t="shared" si="24"/>
        <v>=DISPIMG("ID_B45AC5B0931F41358AA01BD5585B5788",1)</v>
      </c>
      <c r="U214" s="13" t="s">
        <v>119</v>
      </c>
      <c r="V214" s="52" t="s">
        <v>982</v>
      </c>
      <c r="W214" s="67" t="s">
        <v>1005</v>
      </c>
    </row>
    <row r="215" customHeight="1" spans="1:22">
      <c r="A215" s="53" t="s">
        <v>1645</v>
      </c>
      <c r="B215" s="45">
        <v>5530117.97</v>
      </c>
      <c r="D215" s="45">
        <v>101.2</v>
      </c>
      <c r="F215" s="46">
        <f t="shared" si="22"/>
        <v>6.47314267911972</v>
      </c>
      <c r="G215" s="46">
        <f t="shared" si="23"/>
        <v>0.935268573208803</v>
      </c>
      <c r="H215" s="45">
        <v>5234211.29</v>
      </c>
      <c r="I215" s="46">
        <f t="shared" si="21"/>
        <v>5.35082039126915</v>
      </c>
      <c r="K215" s="46">
        <v>6.64</v>
      </c>
      <c r="L215" s="47">
        <v>44992.3958333333</v>
      </c>
      <c r="M215" s="46">
        <v>730</v>
      </c>
      <c r="S215" s="13" t="s">
        <v>1040</v>
      </c>
      <c r="T215" s="13" t="str">
        <f t="shared" si="24"/>
        <v>=DISPIMG("ID_B45AC5B0931F41358AA01BD5585B5788",1)</v>
      </c>
      <c r="U215" s="13" t="s">
        <v>119</v>
      </c>
      <c r="V215" s="52" t="s">
        <v>464</v>
      </c>
    </row>
    <row r="216" customHeight="1" spans="1:22">
      <c r="A216" s="53" t="s">
        <v>1646</v>
      </c>
      <c r="B216" s="45">
        <v>11204733</v>
      </c>
      <c r="D216" s="45">
        <v>98.8</v>
      </c>
      <c r="F216" s="46">
        <f t="shared" si="22"/>
        <v>6.41529660970328</v>
      </c>
      <c r="G216" s="46">
        <f t="shared" si="23"/>
        <v>0.935847033902967</v>
      </c>
      <c r="H216" s="45">
        <v>10360085.15</v>
      </c>
      <c r="I216" s="46">
        <f t="shared" si="21"/>
        <v>7.53831305038683</v>
      </c>
      <c r="K216" s="46">
        <v>5.56</v>
      </c>
      <c r="L216" s="47">
        <v>45000.3958333333</v>
      </c>
      <c r="M216" s="46">
        <v>1232</v>
      </c>
      <c r="S216" s="13" t="s">
        <v>1054</v>
      </c>
      <c r="T216" s="13" t="str">
        <f t="shared" si="24"/>
        <v>=DISPIMG("ID_B45AC5B0931F41358AA01BD5585B5788",1)</v>
      </c>
      <c r="U216" s="13" t="s">
        <v>119</v>
      </c>
      <c r="V216" s="52" t="s">
        <v>120</v>
      </c>
    </row>
    <row r="217" customHeight="1" spans="1:22">
      <c r="A217" s="52" t="s">
        <v>1647</v>
      </c>
      <c r="B217" s="45">
        <v>3513967.32</v>
      </c>
      <c r="D217" s="45">
        <v>102</v>
      </c>
      <c r="F217" s="46">
        <f t="shared" si="22"/>
        <v>6.26390584399986</v>
      </c>
      <c r="G217" s="46">
        <f t="shared" si="23"/>
        <v>0.937360941560001</v>
      </c>
      <c r="H217" s="45">
        <v>3359732.83</v>
      </c>
      <c r="I217" s="46">
        <f t="shared" si="21"/>
        <v>4.38918396087986</v>
      </c>
      <c r="K217" s="46">
        <v>7.5</v>
      </c>
      <c r="L217" s="47">
        <v>45028.3958333333</v>
      </c>
      <c r="M217" s="46">
        <v>557</v>
      </c>
      <c r="S217" s="13" t="s">
        <v>1077</v>
      </c>
      <c r="T217" s="13" t="str">
        <f t="shared" si="24"/>
        <v>=DISPIMG("ID_B45AC5B0931F41358AA01BD5585B5788",1)</v>
      </c>
      <c r="U217" s="13" t="s">
        <v>119</v>
      </c>
      <c r="V217" s="52" t="s">
        <v>1078</v>
      </c>
    </row>
    <row r="218" customHeight="1" spans="1:22">
      <c r="A218" s="52" t="s">
        <v>1648</v>
      </c>
      <c r="B218" s="45">
        <v>7163300.92</v>
      </c>
      <c r="D218" s="45">
        <v>100.4</v>
      </c>
      <c r="F218" s="46">
        <f t="shared" si="22"/>
        <v>6.82270917252353</v>
      </c>
      <c r="G218" s="46">
        <f t="shared" si="23"/>
        <v>0.931772908274765</v>
      </c>
      <c r="H218" s="45">
        <v>6701268.01</v>
      </c>
      <c r="I218" s="46">
        <f t="shared" si="21"/>
        <v>6.45000000921362</v>
      </c>
      <c r="K218" s="46">
        <v>5.4</v>
      </c>
      <c r="L218" s="47">
        <v>45035.3958333333</v>
      </c>
      <c r="M218" s="46">
        <v>799</v>
      </c>
      <c r="S218" s="13" t="s">
        <v>1099</v>
      </c>
      <c r="T218" s="13" t="str">
        <f t="shared" si="24"/>
        <v>=DISPIMG("ID_B45AC5B0931F41358AA01BD5585B5788",1)</v>
      </c>
      <c r="U218" s="13" t="s">
        <v>119</v>
      </c>
      <c r="V218" s="52" t="s">
        <v>539</v>
      </c>
    </row>
    <row r="219" customHeight="1" spans="1:23">
      <c r="A219" s="52" t="s">
        <v>1649</v>
      </c>
      <c r="B219" s="45">
        <v>4590175.18</v>
      </c>
      <c r="D219" s="45">
        <v>98</v>
      </c>
      <c r="F219" s="46">
        <f t="shared" si="22"/>
        <v>7.06122457747207</v>
      </c>
      <c r="G219" s="46">
        <f t="shared" si="23"/>
        <v>0.929387754225279</v>
      </c>
      <c r="H219" s="45">
        <v>4180731.55</v>
      </c>
      <c r="I219" s="46">
        <f t="shared" si="21"/>
        <v>8.92000008592264</v>
      </c>
      <c r="K219" s="46">
        <v>6.3</v>
      </c>
      <c r="L219" s="47">
        <v>45044.3958333333</v>
      </c>
      <c r="M219" s="46">
        <v>317</v>
      </c>
      <c r="S219" s="13" t="s">
        <v>1112</v>
      </c>
      <c r="T219" s="13" t="str">
        <f t="shared" si="24"/>
        <v>=DISPIMG("ID_B45AC5B0931F41358AA01BD5585B5788",1)</v>
      </c>
      <c r="U219" s="13" t="s">
        <v>119</v>
      </c>
      <c r="V219" s="52" t="s">
        <v>539</v>
      </c>
      <c r="W219" s="52" t="s">
        <v>1113</v>
      </c>
    </row>
    <row r="220" customHeight="1" spans="1:23">
      <c r="A220" s="52" t="s">
        <v>1650</v>
      </c>
      <c r="B220" s="45">
        <v>5292401.48</v>
      </c>
      <c r="D220" s="45">
        <v>99.6</v>
      </c>
      <c r="F220" s="46">
        <f t="shared" si="22"/>
        <v>6.06442595803648</v>
      </c>
      <c r="G220" s="46">
        <f t="shared" si="23"/>
        <v>0.939355740419635</v>
      </c>
      <c r="H220" s="45">
        <v>4951561.92</v>
      </c>
      <c r="I220" s="46">
        <f t="shared" si="21"/>
        <v>6.44016825420434</v>
      </c>
      <c r="K220" s="46">
        <v>8.2</v>
      </c>
      <c r="L220" s="47">
        <v>45050.625</v>
      </c>
      <c r="M220" s="46">
        <v>562</v>
      </c>
      <c r="S220" s="13" t="s">
        <v>1127</v>
      </c>
      <c r="T220" s="13" t="str">
        <f t="shared" si="24"/>
        <v>=DISPIMG("ID_B45AC5B0931F41358AA01BD5585B5788",1)</v>
      </c>
      <c r="U220" s="13" t="s">
        <v>119</v>
      </c>
      <c r="V220" s="52" t="s">
        <v>539</v>
      </c>
      <c r="W220" s="67" t="s">
        <v>1128</v>
      </c>
    </row>
    <row r="221" customHeight="1" spans="1:22">
      <c r="A221" s="52" t="s">
        <v>1651</v>
      </c>
      <c r="B221" s="45">
        <v>9213580.43</v>
      </c>
      <c r="D221" s="45">
        <v>100.8</v>
      </c>
      <c r="F221" s="46">
        <f t="shared" si="22"/>
        <v>6.98321747402848</v>
      </c>
      <c r="G221" s="46">
        <f t="shared" si="23"/>
        <v>0.930167825259715</v>
      </c>
      <c r="H221" s="45">
        <v>8638737.48</v>
      </c>
      <c r="I221" s="46">
        <f t="shared" si="21"/>
        <v>6.23908321382071</v>
      </c>
      <c r="K221" s="46">
        <v>6.86</v>
      </c>
      <c r="L221" s="47">
        <v>45054.3958333333</v>
      </c>
      <c r="M221" s="46">
        <v>896</v>
      </c>
      <c r="S221" s="13" t="s">
        <v>1143</v>
      </c>
      <c r="T221" s="13" t="str">
        <f t="shared" si="24"/>
        <v>=DISPIMG("ID_B45AC5B0931F41358AA01BD5585B5788",1)</v>
      </c>
      <c r="U221" s="13" t="s">
        <v>119</v>
      </c>
      <c r="V221" s="52" t="s">
        <v>120</v>
      </c>
    </row>
    <row r="222" customHeight="1" spans="1:22">
      <c r="A222" s="52" t="s">
        <v>1652</v>
      </c>
      <c r="B222" s="45">
        <v>5995716.91</v>
      </c>
      <c r="D222" s="45">
        <v>98.4</v>
      </c>
      <c r="F222" s="46">
        <f t="shared" si="22"/>
        <v>5.88494095258075</v>
      </c>
      <c r="G222" s="46">
        <f t="shared" si="23"/>
        <v>0.941150590474192</v>
      </c>
      <c r="H222" s="45">
        <v>5552586.55</v>
      </c>
      <c r="I222" s="46">
        <f t="shared" si="21"/>
        <v>7.39078189733945</v>
      </c>
      <c r="K222" s="46">
        <v>7.4</v>
      </c>
      <c r="L222" s="47">
        <v>45057.3541666667</v>
      </c>
      <c r="M222" s="46">
        <v>638</v>
      </c>
      <c r="S222" s="13" t="s">
        <v>1145</v>
      </c>
      <c r="T222" s="13" t="str">
        <f t="shared" si="24"/>
        <v>=DISPIMG("ID_B45AC5B0931F41358AA01BD5585B5788",1)</v>
      </c>
      <c r="U222" s="13" t="s">
        <v>119</v>
      </c>
      <c r="V222" s="52" t="s">
        <v>464</v>
      </c>
    </row>
    <row r="223" customHeight="1" spans="1:22">
      <c r="A223" s="52" t="s">
        <v>1653</v>
      </c>
      <c r="B223" s="45">
        <v>4274010.24</v>
      </c>
      <c r="D223" s="45">
        <v>99.6</v>
      </c>
      <c r="F223" s="46">
        <f t="shared" si="22"/>
        <v>6.60726305226987</v>
      </c>
      <c r="G223" s="46">
        <f t="shared" si="23"/>
        <v>0.933927369477301</v>
      </c>
      <c r="H223" s="45">
        <v>3975648.68</v>
      </c>
      <c r="I223" s="46">
        <f t="shared" si="21"/>
        <v>6.9808340000608</v>
      </c>
      <c r="K223" s="46">
        <v>6.39</v>
      </c>
      <c r="L223" s="47">
        <v>45089.3958333333</v>
      </c>
      <c r="M223" s="46">
        <v>479</v>
      </c>
      <c r="S223" s="13" t="s">
        <v>1216</v>
      </c>
      <c r="T223" s="13" t="str">
        <f t="shared" si="24"/>
        <v>=DISPIMG("ID_B45AC5B0931F41358AA01BD5585B5788",1)</v>
      </c>
      <c r="U223" s="13" t="s">
        <v>119</v>
      </c>
      <c r="V223" s="52" t="s">
        <v>120</v>
      </c>
    </row>
    <row r="224" customHeight="1" spans="1:22">
      <c r="A224" s="52" t="s">
        <v>1654</v>
      </c>
      <c r="B224" s="45">
        <v>2893427.85</v>
      </c>
      <c r="D224" s="45">
        <v>98</v>
      </c>
      <c r="F224" s="46">
        <f t="shared" si="22"/>
        <v>7.4168730493198</v>
      </c>
      <c r="G224" s="46">
        <f t="shared" si="23"/>
        <v>0.925831269506802</v>
      </c>
      <c r="H224" s="45">
        <v>2625249.46</v>
      </c>
      <c r="I224" s="46">
        <f t="shared" si="21"/>
        <v>9.26853558833341</v>
      </c>
      <c r="K224" s="46">
        <v>11.9</v>
      </c>
      <c r="L224" s="47">
        <v>45125.3541666667</v>
      </c>
      <c r="M224" s="46">
        <v>150</v>
      </c>
      <c r="S224" s="61" t="s">
        <v>1266</v>
      </c>
      <c r="T224" s="13" t="str">
        <f t="shared" si="24"/>
        <v>=DISPIMG("ID_B45AC5B0931F41358AA01BD5585B5788",1)</v>
      </c>
      <c r="U224" s="13" t="s">
        <v>119</v>
      </c>
      <c r="V224" s="52" t="s">
        <v>402</v>
      </c>
    </row>
    <row r="225" customHeight="1" spans="4:4">
      <c r="D225" s="45">
        <f>0.926*0.98</f>
        <v>0.90748</v>
      </c>
    </row>
    <row r="226" customHeight="1" spans="7:7">
      <c r="G226" s="74"/>
    </row>
  </sheetData>
  <autoFilter ref="A1:Y225">
    <extLst/>
  </autoFilter>
  <sortState ref="A2:X225">
    <sortCondition ref="L2:L225"/>
  </sortState>
  <conditionalFormatting sqref="A1 J1 N1:U1 X1">
    <cfRule type="duplicateValues" dxfId="0" priority="1"/>
  </conditionalFormatting>
  <hyperlinks>
    <hyperlink ref="S18" r:id="rId1" display="https://ggj.chizhou.gov.cn/front/bidcontent/9005001004/e5fe54f0749042ef8d178ef9c3c14029"/>
    <hyperlink ref="S54" r:id="rId2" display="https://ggj.chizhou.gov.cn/front/bidcontent/9005001004/abecd74c6e574474a75b972ff7515253"/>
    <hyperlink ref="S90" r:id="rId3" display="https://ggj.chizhou.gov.cn/front/bidcontent/9005001004/b52748ebf6dc453187e408424974b9b0"/>
    <hyperlink ref="S115" r:id="rId4" display="https://ggj.chizhou.gov.cn/front/bidcontent/9005001004/29c1f83605a0425f8161b5f22dfb0e77"/>
    <hyperlink ref="S111" r:id="rId5" display="https://ggj.chizhou.gov.cn/front/bidcontent/9005001004/7fa7634ec28348ee8ae6be172548ffde"/>
    <hyperlink ref="S126" r:id="rId6" display="https://ggj.chizhou.gov.cn/front/bidcontent/9005001004/b0dabebc056f49989668e6798b972bb5"/>
    <hyperlink ref="S141" r:id="rId7" display="https://ggj.chizhou.gov.cn/front/bidcontent/9005001004/a5c5ccdabbc64165a8be42bd12dc8445"/>
    <hyperlink ref="S224" r:id="rId8" display="https://ggj.chizhou.gov.cn/front/bidcontent/9005001004/6076e062062d4032a78adbe10b6be43d"/>
  </hyperlink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79"/>
  <sheetViews>
    <sheetView zoomScale="115" zoomScaleNormal="115" workbookViewId="0">
      <pane ySplit="1" topLeftCell="A57" activePane="bottomLeft" state="frozen"/>
      <selection/>
      <selection pane="bottomLeft" activeCell="J64" sqref="J64"/>
    </sheetView>
  </sheetViews>
  <sheetFormatPr defaultColWidth="9" defaultRowHeight="31" customHeight="1"/>
  <cols>
    <col min="1" max="1" width="49.8833333333333" style="15" customWidth="1"/>
    <col min="2" max="2" width="15.875" style="4" customWidth="1"/>
    <col min="3" max="3" width="17.375" style="4" customWidth="1"/>
    <col min="4" max="4" width="7.875" style="4" customWidth="1"/>
    <col min="5" max="5" width="4.125" customWidth="1"/>
    <col min="6" max="7" width="11.5166666666667" style="4" customWidth="1"/>
    <col min="8" max="8" width="17.375" style="4" customWidth="1"/>
    <col min="9" max="9" width="9.125" style="4" customWidth="1"/>
    <col min="10" max="10" width="16.5" customWidth="1"/>
    <col min="11" max="11" width="9.01666666666667" style="4" customWidth="1"/>
    <col min="12" max="12" width="18.25" style="14" customWidth="1"/>
    <col min="13" max="13" width="11.25" customWidth="1"/>
    <col min="14" max="14" width="7.875" customWidth="1"/>
    <col min="15" max="17" width="4.125" customWidth="1"/>
    <col min="18" max="18" width="2.875" customWidth="1"/>
    <col min="21" max="21" width="19.3416666666667" customWidth="1"/>
    <col min="22" max="22" width="15.8666666666667" customWidth="1"/>
    <col min="23" max="23" width="17.1666666666667" customWidth="1"/>
  </cols>
  <sheetData>
    <row r="1" s="13" customFormat="1" customHeight="1" spans="1:24">
      <c r="A1" s="15" t="s">
        <v>0</v>
      </c>
      <c r="B1" s="4" t="s">
        <v>1</v>
      </c>
      <c r="C1" s="4" t="s">
        <v>2</v>
      </c>
      <c r="D1" s="4" t="s">
        <v>3</v>
      </c>
      <c r="E1" s="16" t="s">
        <v>4</v>
      </c>
      <c r="F1" s="4" t="s">
        <v>5</v>
      </c>
      <c r="G1" s="4" t="s">
        <v>6</v>
      </c>
      <c r="H1" s="4" t="s">
        <v>7</v>
      </c>
      <c r="I1" s="4" t="s">
        <v>8</v>
      </c>
      <c r="J1" s="9" t="s">
        <v>9</v>
      </c>
      <c r="K1" s="4" t="s">
        <v>10</v>
      </c>
      <c r="L1" s="27" t="s">
        <v>11</v>
      </c>
      <c r="M1" s="9" t="s">
        <v>12</v>
      </c>
      <c r="N1" s="9" t="s">
        <v>13</v>
      </c>
      <c r="O1" s="9" t="s">
        <v>14</v>
      </c>
      <c r="P1" s="9" t="s">
        <v>15</v>
      </c>
      <c r="Q1" s="9" t="s">
        <v>16</v>
      </c>
      <c r="R1" s="9" t="s">
        <v>17</v>
      </c>
      <c r="S1" s="9" t="s">
        <v>18</v>
      </c>
      <c r="T1" s="9" t="s">
        <v>19</v>
      </c>
      <c r="U1" s="11"/>
      <c r="V1" s="9" t="s">
        <v>21</v>
      </c>
      <c r="W1" s="9" t="s">
        <v>22</v>
      </c>
      <c r="X1" s="9" t="s">
        <v>23</v>
      </c>
    </row>
    <row r="2" customHeight="1" spans="1:23">
      <c r="A2" s="15" t="s">
        <v>1231</v>
      </c>
      <c r="B2" s="4">
        <v>15683564.74</v>
      </c>
      <c r="D2" s="4">
        <v>0.3</v>
      </c>
      <c r="F2" s="4">
        <f>(H2/B2-D2)/(1-D2)</f>
        <v>0.980278274596974</v>
      </c>
      <c r="G2" s="4">
        <f>100-100*F2</f>
        <v>1.97217254030258</v>
      </c>
      <c r="H2" s="4">
        <v>15467049.87</v>
      </c>
      <c r="I2" s="4">
        <f t="shared" ref="I2:I65" si="0">100-100*H2/B2</f>
        <v>1.3805207782118</v>
      </c>
      <c r="J2">
        <f>ABS(I2-K2)</f>
        <v>8.4194792217882</v>
      </c>
      <c r="K2" s="4">
        <v>9.8</v>
      </c>
      <c r="L2" s="28">
        <v>45104.5</v>
      </c>
      <c r="M2">
        <v>123</v>
      </c>
      <c r="S2" t="s">
        <v>1232</v>
      </c>
      <c r="T2" t="str">
        <f>_xlfn.DISPIMG("ID_997FAAA4B2494459B426DFD71A0C311E",1)</f>
        <v>=DISPIMG("ID_997FAAA4B2494459B426DFD71A0C311E",1)</v>
      </c>
      <c r="U2" t="s">
        <v>819</v>
      </c>
      <c r="V2" s="5" t="s">
        <v>40</v>
      </c>
      <c r="W2" s="5" t="s">
        <v>1233</v>
      </c>
    </row>
    <row r="3" customHeight="1" spans="1:23">
      <c r="A3" s="15" t="s">
        <v>37</v>
      </c>
      <c r="B3" s="4">
        <v>13105328.9</v>
      </c>
      <c r="D3" s="4">
        <v>0.2</v>
      </c>
      <c r="F3" s="4">
        <f t="shared" ref="F3:F66" si="1">(H3/B3-D3)/(1-D3)</f>
        <v>0.986625011372282</v>
      </c>
      <c r="G3" s="4">
        <f t="shared" ref="G3:G66" si="2">100-100*F3</f>
        <v>1.3374988627718</v>
      </c>
      <c r="H3" s="4">
        <v>12965102</v>
      </c>
      <c r="I3" s="4">
        <f t="shared" si="0"/>
        <v>1.06999909021742</v>
      </c>
      <c r="J3">
        <f t="shared" ref="J3:J34" si="3">ABS(I3-K3)</f>
        <v>7.53000090978258</v>
      </c>
      <c r="K3" s="4">
        <v>8.6</v>
      </c>
      <c r="L3" s="28">
        <v>44232.3958333333</v>
      </c>
      <c r="S3" t="s">
        <v>38</v>
      </c>
      <c r="T3" t="str">
        <f>_xlfn.DISPIMG("ID_2075DED061DC483A94E38AC7E8DD6DB4",1)</f>
        <v>=DISPIMG("ID_2075DED061DC483A94E38AC7E8DD6DB4",1)</v>
      </c>
      <c r="U3" t="s">
        <v>39</v>
      </c>
      <c r="V3" s="5" t="s">
        <v>40</v>
      </c>
      <c r="W3" s="5" t="s">
        <v>41</v>
      </c>
    </row>
    <row r="4" customHeight="1" spans="1:23">
      <c r="A4" s="15" t="s">
        <v>54</v>
      </c>
      <c r="B4" s="4">
        <v>8082075.81</v>
      </c>
      <c r="D4" s="4">
        <v>0.2</v>
      </c>
      <c r="F4" s="4">
        <f t="shared" si="1"/>
        <v>0.96792596746256</v>
      </c>
      <c r="G4" s="4">
        <f t="shared" si="2"/>
        <v>3.20740325374405</v>
      </c>
      <c r="H4" s="4">
        <v>7874696</v>
      </c>
      <c r="I4" s="4">
        <f t="shared" si="0"/>
        <v>2.56592260299523</v>
      </c>
      <c r="J4">
        <f t="shared" si="3"/>
        <v>3.03407739700477</v>
      </c>
      <c r="K4" s="4">
        <v>5.6</v>
      </c>
      <c r="L4" s="28">
        <v>44295.3958333333</v>
      </c>
      <c r="S4" s="35" t="s">
        <v>55</v>
      </c>
      <c r="T4" t="str">
        <f>_xlfn.DISPIMG("ID_2075DED061DC483A94E38AC7E8DD6DB4",1)</f>
        <v>=DISPIMG("ID_2075DED061DC483A94E38AC7E8DD6DB4",1)</v>
      </c>
      <c r="U4" t="s">
        <v>39</v>
      </c>
      <c r="V4" s="5" t="s">
        <v>40</v>
      </c>
      <c r="W4" s="36" t="s">
        <v>56</v>
      </c>
    </row>
    <row r="5" customHeight="1" spans="1:22">
      <c r="A5" s="15" t="s">
        <v>565</v>
      </c>
      <c r="B5" s="4">
        <v>4640844.78</v>
      </c>
      <c r="D5" s="4">
        <v>0.1</v>
      </c>
      <c r="F5" s="4">
        <f t="shared" si="1"/>
        <v>0.852000920497161</v>
      </c>
      <c r="G5" s="4">
        <f t="shared" si="2"/>
        <v>14.7999079502839</v>
      </c>
      <c r="H5" s="4">
        <v>4022688.1</v>
      </c>
      <c r="I5" s="4">
        <f t="shared" si="0"/>
        <v>13.3199171552555</v>
      </c>
      <c r="J5">
        <f t="shared" si="3"/>
        <v>7.0199171552555</v>
      </c>
      <c r="K5" s="4">
        <v>6.3</v>
      </c>
      <c r="L5" s="28">
        <v>44658.375</v>
      </c>
      <c r="M5">
        <v>139</v>
      </c>
      <c r="S5" s="35" t="s">
        <v>566</v>
      </c>
      <c r="T5" t="str">
        <f>_xlfn.DISPIMG("ID_2075DED061DC483A94E38AC7E8DD6DB4",1)</f>
        <v>=DISPIMG("ID_2075DED061DC483A94E38AC7E8DD6DB4",1)</v>
      </c>
      <c r="U5" t="s">
        <v>39</v>
      </c>
      <c r="V5" s="5" t="s">
        <v>40</v>
      </c>
    </row>
    <row r="6" customHeight="1" spans="1:22">
      <c r="A6" s="15" t="s">
        <v>567</v>
      </c>
      <c r="B6" s="4">
        <v>32466712.64</v>
      </c>
      <c r="D6" s="4">
        <v>0.3</v>
      </c>
      <c r="F6" s="4">
        <f t="shared" si="1"/>
        <v>0.891601773910213</v>
      </c>
      <c r="G6" s="4">
        <f t="shared" si="2"/>
        <v>10.8398226089787</v>
      </c>
      <c r="H6" s="4">
        <v>30003178.8</v>
      </c>
      <c r="I6" s="4">
        <f t="shared" si="0"/>
        <v>7.58787582628507</v>
      </c>
      <c r="J6">
        <f t="shared" si="3"/>
        <v>0.0121241737149296</v>
      </c>
      <c r="K6" s="4">
        <v>7.6</v>
      </c>
      <c r="L6" s="28">
        <v>44666.375</v>
      </c>
      <c r="M6">
        <v>95</v>
      </c>
      <c r="S6" t="s">
        <v>568</v>
      </c>
      <c r="T6" s="13" t="str">
        <f>_xlfn.DISPIMG("ID_04911115B04F40D28BF0BCE92D4AA82B",1)</f>
        <v>=DISPIMG("ID_04911115B04F40D28BF0BCE92D4AA82B",1)</v>
      </c>
      <c r="U6" s="13" t="s">
        <v>569</v>
      </c>
      <c r="V6" s="37" t="s">
        <v>1655</v>
      </c>
    </row>
    <row r="7" customHeight="1" spans="1:23">
      <c r="A7" s="15" t="s">
        <v>583</v>
      </c>
      <c r="B7" s="4">
        <v>11741111.5</v>
      </c>
      <c r="D7" s="4">
        <v>0.2</v>
      </c>
      <c r="F7" s="4">
        <f t="shared" si="1"/>
        <v>0.945987499778023</v>
      </c>
      <c r="G7" s="4">
        <f t="shared" si="2"/>
        <v>5.40125002219766</v>
      </c>
      <c r="H7" s="4">
        <v>11233778.07</v>
      </c>
      <c r="I7" s="4">
        <f t="shared" si="0"/>
        <v>4.32100001775811</v>
      </c>
      <c r="J7">
        <f t="shared" si="3"/>
        <v>3.97899998224189</v>
      </c>
      <c r="K7" s="4">
        <v>8.3</v>
      </c>
      <c r="L7" s="28">
        <v>44672.375</v>
      </c>
      <c r="M7">
        <v>230</v>
      </c>
      <c r="S7" t="s">
        <v>584</v>
      </c>
      <c r="T7" s="13" t="str">
        <f t="shared" ref="T7:T17" si="4">_xlfn.DISPIMG("ID_5C1B5B8EA2164BF49185CA64500D4BE4",1)</f>
        <v>=DISPIMG("ID_5C1B5B8EA2164BF49185CA64500D4BE4",1)</v>
      </c>
      <c r="U7" s="13" t="s">
        <v>189</v>
      </c>
      <c r="V7" s="5" t="s">
        <v>581</v>
      </c>
      <c r="W7" s="36" t="s">
        <v>585</v>
      </c>
    </row>
    <row r="8" customHeight="1" spans="1:23">
      <c r="A8" s="15" t="s">
        <v>586</v>
      </c>
      <c r="B8" s="4">
        <v>5367541.9</v>
      </c>
      <c r="D8" s="4">
        <v>0.3</v>
      </c>
      <c r="F8" s="4">
        <f t="shared" si="1"/>
        <v>0.972857141819158</v>
      </c>
      <c r="G8" s="4">
        <f t="shared" si="2"/>
        <v>2.71428581808422</v>
      </c>
      <c r="H8" s="4">
        <v>5265558.6</v>
      </c>
      <c r="I8" s="4">
        <f t="shared" si="0"/>
        <v>1.90000007265897</v>
      </c>
      <c r="J8">
        <f t="shared" si="3"/>
        <v>5.39999992734103</v>
      </c>
      <c r="K8" s="4">
        <v>7.3</v>
      </c>
      <c r="L8" s="28">
        <v>44672.375</v>
      </c>
      <c r="M8">
        <v>167</v>
      </c>
      <c r="S8" t="s">
        <v>587</v>
      </c>
      <c r="T8" s="13" t="str">
        <f t="shared" si="4"/>
        <v>=DISPIMG("ID_5C1B5B8EA2164BF49185CA64500D4BE4",1)</v>
      </c>
      <c r="U8" s="13" t="s">
        <v>189</v>
      </c>
      <c r="V8" s="5" t="s">
        <v>581</v>
      </c>
      <c r="W8" s="36" t="s">
        <v>588</v>
      </c>
    </row>
    <row r="9" customHeight="1" spans="1:23">
      <c r="A9" s="15" t="s">
        <v>579</v>
      </c>
      <c r="B9" s="4">
        <v>15284795</v>
      </c>
      <c r="D9" s="4">
        <v>0.1</v>
      </c>
      <c r="F9" s="4">
        <f t="shared" si="1"/>
        <v>0.968221950855954</v>
      </c>
      <c r="G9" s="4">
        <f t="shared" si="2"/>
        <v>3.17780491440458</v>
      </c>
      <c r="H9" s="4">
        <v>14847646.13</v>
      </c>
      <c r="I9" s="4">
        <f t="shared" si="0"/>
        <v>2.86002442296413</v>
      </c>
      <c r="J9">
        <f t="shared" si="3"/>
        <v>0.63997557703587</v>
      </c>
      <c r="K9" s="4">
        <v>3.5</v>
      </c>
      <c r="L9" s="28">
        <v>44672.375</v>
      </c>
      <c r="M9">
        <v>232</v>
      </c>
      <c r="S9" t="s">
        <v>580</v>
      </c>
      <c r="T9" s="13" t="str">
        <f t="shared" si="4"/>
        <v>=DISPIMG("ID_5C1B5B8EA2164BF49185CA64500D4BE4",1)</v>
      </c>
      <c r="U9" s="13" t="s">
        <v>189</v>
      </c>
      <c r="V9" s="5" t="s">
        <v>581</v>
      </c>
      <c r="W9" s="36" t="s">
        <v>582</v>
      </c>
    </row>
    <row r="10" customHeight="1" spans="1:23">
      <c r="A10" s="15" t="s">
        <v>592</v>
      </c>
      <c r="B10" s="4">
        <v>8711938.47</v>
      </c>
      <c r="D10" s="4">
        <v>0.3</v>
      </c>
      <c r="F10" s="4">
        <f t="shared" si="1"/>
        <v>0.971427315254148</v>
      </c>
      <c r="G10" s="4">
        <f t="shared" si="2"/>
        <v>2.85726847458524</v>
      </c>
      <c r="H10" s="4">
        <v>8537692.04</v>
      </c>
      <c r="I10" s="4">
        <f t="shared" si="0"/>
        <v>2.00008793220967</v>
      </c>
      <c r="J10">
        <f t="shared" si="3"/>
        <v>2.79991206779033</v>
      </c>
      <c r="K10" s="4">
        <v>4.8</v>
      </c>
      <c r="L10" s="28">
        <v>44672.4583333333</v>
      </c>
      <c r="M10">
        <v>173</v>
      </c>
      <c r="S10" t="s">
        <v>593</v>
      </c>
      <c r="T10" s="13" t="str">
        <f t="shared" si="4"/>
        <v>=DISPIMG("ID_5C1B5B8EA2164BF49185CA64500D4BE4",1)</v>
      </c>
      <c r="U10" s="13" t="s">
        <v>189</v>
      </c>
      <c r="V10" s="5" t="s">
        <v>581</v>
      </c>
      <c r="W10" s="36" t="s">
        <v>594</v>
      </c>
    </row>
    <row r="11" customHeight="1" spans="1:23">
      <c r="A11" s="15" t="s">
        <v>589</v>
      </c>
      <c r="B11" s="4">
        <v>10445167.25</v>
      </c>
      <c r="D11" s="4">
        <v>0.2</v>
      </c>
      <c r="F11" s="4">
        <f t="shared" si="1"/>
        <v>0.96462500037996</v>
      </c>
      <c r="G11" s="4">
        <f t="shared" si="2"/>
        <v>3.53749996200398</v>
      </c>
      <c r="H11" s="4">
        <v>10149569.02</v>
      </c>
      <c r="I11" s="4">
        <f t="shared" si="0"/>
        <v>2.82999996960316</v>
      </c>
      <c r="J11">
        <f t="shared" si="3"/>
        <v>0.52999996960316</v>
      </c>
      <c r="K11" s="4">
        <v>2.3</v>
      </c>
      <c r="L11" s="28">
        <v>44672.4583333333</v>
      </c>
      <c r="M11">
        <v>185</v>
      </c>
      <c r="S11" t="s">
        <v>590</v>
      </c>
      <c r="T11" s="13" t="str">
        <f t="shared" si="4"/>
        <v>=DISPIMG("ID_5C1B5B8EA2164BF49185CA64500D4BE4",1)</v>
      </c>
      <c r="U11" s="13" t="s">
        <v>189</v>
      </c>
      <c r="V11" s="5" t="s">
        <v>581</v>
      </c>
      <c r="W11" s="36" t="s">
        <v>591</v>
      </c>
    </row>
    <row r="12" customHeight="1" spans="1:23">
      <c r="A12" s="15" t="s">
        <v>595</v>
      </c>
      <c r="B12" s="4">
        <v>6775565.63</v>
      </c>
      <c r="D12" s="4">
        <v>0.3</v>
      </c>
      <c r="F12" s="4">
        <f t="shared" si="1"/>
        <v>0.957571428405075</v>
      </c>
      <c r="G12" s="4">
        <f t="shared" si="2"/>
        <v>4.24285715949254</v>
      </c>
      <c r="H12" s="4">
        <v>6574331.33</v>
      </c>
      <c r="I12" s="4">
        <f t="shared" si="0"/>
        <v>2.97000001164479</v>
      </c>
      <c r="J12">
        <f t="shared" si="3"/>
        <v>0.77000001164479</v>
      </c>
      <c r="K12" s="4">
        <v>2.2</v>
      </c>
      <c r="L12" s="28">
        <v>44672.4583333333</v>
      </c>
      <c r="M12">
        <v>172</v>
      </c>
      <c r="S12" t="s">
        <v>596</v>
      </c>
      <c r="T12" s="13" t="str">
        <f t="shared" si="4"/>
        <v>=DISPIMG("ID_5C1B5B8EA2164BF49185CA64500D4BE4",1)</v>
      </c>
      <c r="U12" s="13" t="s">
        <v>189</v>
      </c>
      <c r="V12" s="5" t="s">
        <v>581</v>
      </c>
      <c r="W12" s="38" t="s">
        <v>597</v>
      </c>
    </row>
    <row r="13" customHeight="1" spans="1:23">
      <c r="A13" s="15" t="s">
        <v>598</v>
      </c>
      <c r="B13" s="4">
        <v>14401064.32</v>
      </c>
      <c r="D13" s="4">
        <v>0.3</v>
      </c>
      <c r="F13" s="4">
        <f t="shared" si="1"/>
        <v>0.969528510118183</v>
      </c>
      <c r="G13" s="4">
        <f t="shared" si="2"/>
        <v>3.04714898818175</v>
      </c>
      <c r="H13" s="4">
        <v>14093889</v>
      </c>
      <c r="I13" s="4">
        <f t="shared" si="0"/>
        <v>2.13300429172725</v>
      </c>
      <c r="J13">
        <f t="shared" si="3"/>
        <v>3.06699570827275</v>
      </c>
      <c r="K13" s="4">
        <v>5.2</v>
      </c>
      <c r="L13" s="28">
        <v>44673.375</v>
      </c>
      <c r="M13">
        <v>141</v>
      </c>
      <c r="S13" t="s">
        <v>599</v>
      </c>
      <c r="T13" s="13" t="str">
        <f t="shared" si="4"/>
        <v>=DISPIMG("ID_5C1B5B8EA2164BF49185CA64500D4BE4",1)</v>
      </c>
      <c r="U13" s="13" t="s">
        <v>189</v>
      </c>
      <c r="V13" s="5" t="s">
        <v>581</v>
      </c>
      <c r="W13" s="5" t="s">
        <v>600</v>
      </c>
    </row>
    <row r="14" customHeight="1" spans="1:23">
      <c r="A14" s="15" t="s">
        <v>604</v>
      </c>
      <c r="B14" s="4">
        <v>4373371.91</v>
      </c>
      <c r="D14" s="4">
        <v>0.2</v>
      </c>
      <c r="F14" s="4">
        <f t="shared" si="1"/>
        <v>0.969587499591362</v>
      </c>
      <c r="G14" s="4">
        <f t="shared" si="2"/>
        <v>3.0412500408638</v>
      </c>
      <c r="H14" s="4">
        <v>4266967.77</v>
      </c>
      <c r="I14" s="4">
        <f t="shared" si="0"/>
        <v>2.43300003269104</v>
      </c>
      <c r="J14">
        <f t="shared" si="3"/>
        <v>0.56699996730896</v>
      </c>
      <c r="K14" s="4">
        <v>3</v>
      </c>
      <c r="L14" s="28">
        <v>44673.375</v>
      </c>
      <c r="M14">
        <v>120</v>
      </c>
      <c r="S14" t="s">
        <v>605</v>
      </c>
      <c r="T14" s="13" t="str">
        <f t="shared" si="4"/>
        <v>=DISPIMG("ID_5C1B5B8EA2164BF49185CA64500D4BE4",1)</v>
      </c>
      <c r="U14" s="13" t="s">
        <v>189</v>
      </c>
      <c r="V14" s="5" t="s">
        <v>581</v>
      </c>
      <c r="W14" s="5" t="s">
        <v>606</v>
      </c>
    </row>
    <row r="15" customHeight="1" spans="1:23">
      <c r="A15" s="15" t="s">
        <v>601</v>
      </c>
      <c r="B15" s="4">
        <v>9488066.12</v>
      </c>
      <c r="D15" s="4">
        <v>0.2</v>
      </c>
      <c r="F15" s="4">
        <f t="shared" si="1"/>
        <v>0.970974999381644</v>
      </c>
      <c r="G15" s="4">
        <f t="shared" si="2"/>
        <v>2.90250006183557</v>
      </c>
      <c r="H15" s="4">
        <v>9267753.22</v>
      </c>
      <c r="I15" s="4">
        <f t="shared" si="0"/>
        <v>2.32200004946844</v>
      </c>
      <c r="J15">
        <f t="shared" si="3"/>
        <v>0.0220000494684403</v>
      </c>
      <c r="K15" s="4">
        <v>2.3</v>
      </c>
      <c r="L15" s="28">
        <v>44673.375</v>
      </c>
      <c r="M15">
        <v>134</v>
      </c>
      <c r="S15" t="s">
        <v>602</v>
      </c>
      <c r="T15" s="13" t="str">
        <f t="shared" si="4"/>
        <v>=DISPIMG("ID_5C1B5B8EA2164BF49185CA64500D4BE4",1)</v>
      </c>
      <c r="U15" s="13" t="s">
        <v>189</v>
      </c>
      <c r="V15" s="5" t="s">
        <v>581</v>
      </c>
      <c r="W15" s="5" t="s">
        <v>603</v>
      </c>
    </row>
    <row r="16" customHeight="1" spans="1:23">
      <c r="A16" s="15" t="s">
        <v>607</v>
      </c>
      <c r="B16" s="4">
        <v>20332533.05</v>
      </c>
      <c r="D16" s="4">
        <v>0.1</v>
      </c>
      <c r="F16" s="4">
        <f t="shared" si="1"/>
        <v>0.96677777767914</v>
      </c>
      <c r="G16" s="4">
        <f t="shared" si="2"/>
        <v>3.32222223208602</v>
      </c>
      <c r="H16" s="4">
        <v>19724590.31</v>
      </c>
      <c r="I16" s="4">
        <f t="shared" si="0"/>
        <v>2.99000000887742</v>
      </c>
      <c r="J16">
        <f t="shared" si="3"/>
        <v>0.20999999112258</v>
      </c>
      <c r="K16" s="4">
        <v>3.2</v>
      </c>
      <c r="L16" s="28">
        <v>44673.4583333333</v>
      </c>
      <c r="M16">
        <v>164</v>
      </c>
      <c r="S16" t="s">
        <v>608</v>
      </c>
      <c r="T16" s="13" t="str">
        <f t="shared" si="4"/>
        <v>=DISPIMG("ID_5C1B5B8EA2164BF49185CA64500D4BE4",1)</v>
      </c>
      <c r="U16" s="13" t="s">
        <v>189</v>
      </c>
      <c r="V16" s="5" t="s">
        <v>581</v>
      </c>
      <c r="W16" s="38" t="s">
        <v>609</v>
      </c>
    </row>
    <row r="17" customHeight="1" spans="1:23">
      <c r="A17" s="15" t="s">
        <v>610</v>
      </c>
      <c r="B17" s="4">
        <v>7200925.42</v>
      </c>
      <c r="D17" s="4">
        <v>0.1</v>
      </c>
      <c r="F17" s="4">
        <f t="shared" si="1"/>
        <v>0.960877778400877</v>
      </c>
      <c r="G17" s="4">
        <f t="shared" si="2"/>
        <v>3.91222215991233</v>
      </c>
      <c r="H17" s="4">
        <v>6947380.84</v>
      </c>
      <c r="I17" s="4">
        <f t="shared" si="0"/>
        <v>3.5209999439211</v>
      </c>
      <c r="J17">
        <f t="shared" si="3"/>
        <v>0.8409999439211</v>
      </c>
      <c r="K17" s="4">
        <v>2.68</v>
      </c>
      <c r="L17" s="28">
        <v>44673.4583333333</v>
      </c>
      <c r="M17">
        <v>125</v>
      </c>
      <c r="S17" t="s">
        <v>611</v>
      </c>
      <c r="T17" s="13" t="str">
        <f t="shared" si="4"/>
        <v>=DISPIMG("ID_5C1B5B8EA2164BF49185CA64500D4BE4",1)</v>
      </c>
      <c r="U17" s="13" t="s">
        <v>189</v>
      </c>
      <c r="V17" s="5" t="s">
        <v>581</v>
      </c>
      <c r="W17" s="38" t="s">
        <v>612</v>
      </c>
    </row>
    <row r="18" customHeight="1" spans="1:23">
      <c r="A18" s="15" t="s">
        <v>648</v>
      </c>
      <c r="B18" s="4">
        <v>7084236.13</v>
      </c>
      <c r="D18" s="4">
        <v>0.1</v>
      </c>
      <c r="F18" s="4">
        <f t="shared" si="1"/>
        <v>0.906900143563302</v>
      </c>
      <c r="G18" s="4">
        <f t="shared" si="2"/>
        <v>9.30998564366976</v>
      </c>
      <c r="H18" s="4">
        <v>6490648.9</v>
      </c>
      <c r="I18" s="4">
        <f t="shared" si="0"/>
        <v>8.37898707930279</v>
      </c>
      <c r="J18">
        <f t="shared" si="3"/>
        <v>1.69898707930279</v>
      </c>
      <c r="K18" s="4">
        <v>6.68</v>
      </c>
      <c r="L18" s="28">
        <v>44698.3958333333</v>
      </c>
      <c r="M18">
        <v>641</v>
      </c>
      <c r="S18" t="s">
        <v>649</v>
      </c>
      <c r="T18" t="str">
        <f>_xlfn.DISPIMG("ID_AE8DB1D0E07F4A4687CDBE6608B76358",1)</f>
        <v>=DISPIMG("ID_AE8DB1D0E07F4A4687CDBE6608B76358",1)</v>
      </c>
      <c r="U18" s="13" t="s">
        <v>650</v>
      </c>
      <c r="V18" s="5" t="s">
        <v>581</v>
      </c>
      <c r="W18" s="26" t="s">
        <v>651</v>
      </c>
    </row>
    <row r="19" customHeight="1" spans="1:23">
      <c r="A19" s="15" t="s">
        <v>704</v>
      </c>
      <c r="B19" s="4">
        <v>32292423.4</v>
      </c>
      <c r="D19" s="4">
        <v>0.4</v>
      </c>
      <c r="F19" s="4">
        <f t="shared" si="1"/>
        <v>0.977439762748393</v>
      </c>
      <c r="G19" s="4">
        <f t="shared" si="2"/>
        <v>2.25602372516067</v>
      </c>
      <c r="H19" s="4">
        <v>31855308.56</v>
      </c>
      <c r="I19" s="4">
        <f t="shared" si="0"/>
        <v>1.35361423509639</v>
      </c>
      <c r="J19">
        <f t="shared" si="3"/>
        <v>6.44638576490361</v>
      </c>
      <c r="K19" s="4">
        <v>7.8</v>
      </c>
      <c r="L19" s="28">
        <v>44727.3958333333</v>
      </c>
      <c r="M19">
        <v>86</v>
      </c>
      <c r="S19" t="s">
        <v>705</v>
      </c>
      <c r="T19" t="str">
        <f>_xlfn.DISPIMG("ID_C8E10289BF754CA8AF0D60A0AE6B3660",1)</f>
        <v>=DISPIMG("ID_C8E10289BF754CA8AF0D60A0AE6B3660",1)</v>
      </c>
      <c r="U19" s="13" t="s">
        <v>706</v>
      </c>
      <c r="V19" s="5" t="s">
        <v>581</v>
      </c>
      <c r="W19" s="20" t="s">
        <v>707</v>
      </c>
    </row>
    <row r="20" customHeight="1" spans="1:23">
      <c r="A20" s="15" t="s">
        <v>717</v>
      </c>
      <c r="B20" s="4">
        <v>8267387.08</v>
      </c>
      <c r="D20" s="4">
        <v>0.3</v>
      </c>
      <c r="F20" s="4">
        <f t="shared" si="1"/>
        <v>0.919238572084097</v>
      </c>
      <c r="G20" s="4">
        <f t="shared" si="2"/>
        <v>8.07614279159027</v>
      </c>
      <c r="H20" s="4">
        <v>7800006.89</v>
      </c>
      <c r="I20" s="4">
        <f t="shared" si="0"/>
        <v>5.65329995411319</v>
      </c>
      <c r="J20">
        <f t="shared" si="3"/>
        <v>2.99329995411319</v>
      </c>
      <c r="K20" s="4">
        <v>2.66</v>
      </c>
      <c r="L20" s="28">
        <v>44736.375</v>
      </c>
      <c r="M20">
        <v>60</v>
      </c>
      <c r="S20" t="s">
        <v>718</v>
      </c>
      <c r="T20" s="13" t="str">
        <f t="shared" ref="T20:T22" si="5">_xlfn.DISPIMG("ID_5C1B5B8EA2164BF49185CA64500D4BE4",1)</f>
        <v>=DISPIMG("ID_5C1B5B8EA2164BF49185CA64500D4BE4",1)</v>
      </c>
      <c r="U20" s="13" t="s">
        <v>189</v>
      </c>
      <c r="V20" s="5" t="s">
        <v>581</v>
      </c>
      <c r="W20" s="5" t="s">
        <v>719</v>
      </c>
    </row>
    <row r="21" customHeight="1" spans="1:23">
      <c r="A21" s="15" t="s">
        <v>720</v>
      </c>
      <c r="B21" s="4">
        <v>7427581.18</v>
      </c>
      <c r="D21" s="4">
        <v>0.3</v>
      </c>
      <c r="F21" s="4">
        <f t="shared" si="1"/>
        <v>0.952571427643613</v>
      </c>
      <c r="G21" s="4">
        <f t="shared" si="2"/>
        <v>4.74285723563872</v>
      </c>
      <c r="H21" s="4">
        <v>7180985.48</v>
      </c>
      <c r="I21" s="4">
        <f t="shared" si="0"/>
        <v>3.32000006494711</v>
      </c>
      <c r="J21">
        <f t="shared" si="3"/>
        <v>1.82000006494711</v>
      </c>
      <c r="K21" s="4">
        <v>1.5</v>
      </c>
      <c r="L21" s="28">
        <v>44742.375</v>
      </c>
      <c r="M21">
        <v>62</v>
      </c>
      <c r="S21" t="s">
        <v>721</v>
      </c>
      <c r="T21" s="13" t="str">
        <f t="shared" si="5"/>
        <v>=DISPIMG("ID_5C1B5B8EA2164BF49185CA64500D4BE4",1)</v>
      </c>
      <c r="U21" s="13" t="s">
        <v>189</v>
      </c>
      <c r="V21" s="5" t="s">
        <v>581</v>
      </c>
      <c r="W21" s="36" t="s">
        <v>722</v>
      </c>
    </row>
    <row r="22" customHeight="1" spans="1:23">
      <c r="A22" s="15" t="s">
        <v>731</v>
      </c>
      <c r="B22" s="4">
        <v>8015212.2</v>
      </c>
      <c r="D22" s="4">
        <v>0.1</v>
      </c>
      <c r="F22" s="4">
        <f t="shared" si="1"/>
        <v>0.903130000725371</v>
      </c>
      <c r="G22" s="4">
        <f t="shared" si="2"/>
        <v>9.68699992746294</v>
      </c>
      <c r="H22" s="4">
        <v>7316421.96</v>
      </c>
      <c r="I22" s="4">
        <f t="shared" si="0"/>
        <v>8.71829993471664</v>
      </c>
      <c r="J22">
        <f t="shared" si="3"/>
        <v>0.418299934716639</v>
      </c>
      <c r="K22" s="4">
        <v>8.3</v>
      </c>
      <c r="L22" s="28">
        <v>44743.3958333333</v>
      </c>
      <c r="M22">
        <v>93</v>
      </c>
      <c r="S22" t="s">
        <v>732</v>
      </c>
      <c r="T22" s="13" t="str">
        <f t="shared" si="5"/>
        <v>=DISPIMG("ID_5C1B5B8EA2164BF49185CA64500D4BE4",1)</v>
      </c>
      <c r="U22" s="13" t="s">
        <v>189</v>
      </c>
      <c r="V22" s="5" t="s">
        <v>581</v>
      </c>
      <c r="W22" s="39" t="s">
        <v>733</v>
      </c>
    </row>
    <row r="23" customHeight="1" spans="1:23">
      <c r="A23" s="30" t="s">
        <v>726</v>
      </c>
      <c r="B23" s="4">
        <v>1790080</v>
      </c>
      <c r="D23" s="4">
        <v>0.3</v>
      </c>
      <c r="F23" s="4">
        <f t="shared" si="1"/>
        <v>0.972802492466418</v>
      </c>
      <c r="G23" s="4">
        <f t="shared" si="2"/>
        <v>2.71975075335818</v>
      </c>
      <c r="H23" s="4">
        <v>1756000</v>
      </c>
      <c r="I23" s="4">
        <f t="shared" si="0"/>
        <v>1.90382552735073</v>
      </c>
      <c r="J23">
        <f t="shared" si="3"/>
        <v>6.59617447264927</v>
      </c>
      <c r="K23" s="4">
        <v>8.5</v>
      </c>
      <c r="L23" s="28">
        <v>44742.4583333333</v>
      </c>
      <c r="M23">
        <v>7</v>
      </c>
      <c r="S23" t="s">
        <v>727</v>
      </c>
      <c r="T23" t="str">
        <f>_xlfn.DISPIMG("ID_5BE089F644E8421593CEA11BFE5C5CC8",1)</f>
        <v>=DISPIMG("ID_5BE089F644E8421593CEA11BFE5C5CC8",1)</v>
      </c>
      <c r="U23" s="13" t="s">
        <v>728</v>
      </c>
      <c r="V23" s="29" t="s">
        <v>729</v>
      </c>
      <c r="W23" s="5" t="s">
        <v>730</v>
      </c>
    </row>
    <row r="24" customHeight="1" spans="1:23">
      <c r="A24" s="31" t="s">
        <v>1656</v>
      </c>
      <c r="B24" s="4">
        <v>31778383.41</v>
      </c>
      <c r="D24" s="4">
        <v>0.4</v>
      </c>
      <c r="F24" s="4">
        <f t="shared" si="1"/>
        <v>0.99190427142415</v>
      </c>
      <c r="G24" s="4">
        <f t="shared" si="2"/>
        <v>0.809572857585039</v>
      </c>
      <c r="H24" s="4">
        <v>31624021.91</v>
      </c>
      <c r="I24" s="4">
        <f t="shared" si="0"/>
        <v>0.48574371455102</v>
      </c>
      <c r="J24">
        <f t="shared" si="3"/>
        <v>1.11425628544898</v>
      </c>
      <c r="K24" s="4">
        <v>1.6</v>
      </c>
      <c r="L24" s="28">
        <v>44770.375</v>
      </c>
      <c r="M24">
        <v>36</v>
      </c>
      <c r="S24" s="35" t="s">
        <v>767</v>
      </c>
      <c r="T24" t="str">
        <f>_xlfn.DISPIMG("ID_8B35092E738D4FEEADF54236235FBA16",1)</f>
        <v>=DISPIMG("ID_8B35092E738D4FEEADF54236235FBA16",1)</v>
      </c>
      <c r="U24" s="13" t="s">
        <v>768</v>
      </c>
      <c r="V24" s="5" t="s">
        <v>581</v>
      </c>
      <c r="W24" s="39" t="s">
        <v>769</v>
      </c>
    </row>
    <row r="25" customHeight="1" spans="1:23">
      <c r="A25" s="5" t="s">
        <v>1657</v>
      </c>
      <c r="B25" s="4">
        <v>7341307.81</v>
      </c>
      <c r="D25" s="4">
        <v>0.3</v>
      </c>
      <c r="F25" s="4">
        <f t="shared" si="1"/>
        <v>0.953385715033012</v>
      </c>
      <c r="G25" s="4">
        <f t="shared" si="2"/>
        <v>4.66142849669879</v>
      </c>
      <c r="H25" s="4">
        <v>7101760.94</v>
      </c>
      <c r="I25" s="4">
        <f t="shared" si="0"/>
        <v>3.26299994768915</v>
      </c>
      <c r="J25">
        <f t="shared" si="3"/>
        <v>1.96299994768915</v>
      </c>
      <c r="K25" s="4">
        <v>1.3</v>
      </c>
      <c r="L25" s="28">
        <v>44778.375</v>
      </c>
      <c r="M25">
        <v>77</v>
      </c>
      <c r="S25" t="s">
        <v>771</v>
      </c>
      <c r="T25" s="13" t="str">
        <f t="shared" ref="T25:T27" si="6">_xlfn.DISPIMG("ID_AB9CC0FC36584B33ABE1470B59C3303E",1)</f>
        <v>=DISPIMG("ID_AB9CC0FC36584B33ABE1470B59C3303E",1)</v>
      </c>
      <c r="U25" s="13" t="s">
        <v>383</v>
      </c>
      <c r="V25" s="5" t="s">
        <v>581</v>
      </c>
      <c r="W25" s="36" t="s">
        <v>772</v>
      </c>
    </row>
    <row r="26" customHeight="1" spans="1:23">
      <c r="A26" s="5" t="s">
        <v>1658</v>
      </c>
      <c r="B26" s="4">
        <v>5982537.34</v>
      </c>
      <c r="D26" s="4">
        <v>0.3</v>
      </c>
      <c r="F26" s="4">
        <f t="shared" si="1"/>
        <v>0.937240396492273</v>
      </c>
      <c r="G26" s="4">
        <f t="shared" si="2"/>
        <v>6.27596035077268</v>
      </c>
      <c r="H26" s="4">
        <v>5719714.17</v>
      </c>
      <c r="I26" s="4">
        <f t="shared" si="0"/>
        <v>4.39317224554088</v>
      </c>
      <c r="J26">
        <f t="shared" si="3"/>
        <v>0.81682775445912</v>
      </c>
      <c r="K26" s="4">
        <v>5.21</v>
      </c>
      <c r="L26" s="28">
        <v>44778.4166666667</v>
      </c>
      <c r="M26">
        <v>83</v>
      </c>
      <c r="S26" t="s">
        <v>774</v>
      </c>
      <c r="T26" s="13" t="str">
        <f t="shared" si="6"/>
        <v>=DISPIMG("ID_AB9CC0FC36584B33ABE1470B59C3303E",1)</v>
      </c>
      <c r="U26" s="13" t="s">
        <v>383</v>
      </c>
      <c r="V26" s="5" t="s">
        <v>581</v>
      </c>
      <c r="W26" s="36" t="s">
        <v>772</v>
      </c>
    </row>
    <row r="27" customHeight="1" spans="1:23">
      <c r="A27" s="5" t="s">
        <v>1659</v>
      </c>
      <c r="B27" s="4">
        <v>4784635.38</v>
      </c>
      <c r="D27" s="4">
        <v>0.1</v>
      </c>
      <c r="F27" s="4">
        <f t="shared" si="1"/>
        <v>0.96588804037793</v>
      </c>
      <c r="G27" s="4">
        <f t="shared" si="2"/>
        <v>3.41119596220703</v>
      </c>
      <c r="H27" s="4">
        <v>4637743.42</v>
      </c>
      <c r="I27" s="4">
        <f t="shared" si="0"/>
        <v>3.07007636598632</v>
      </c>
      <c r="J27">
        <f t="shared" si="3"/>
        <v>2.15992363401368</v>
      </c>
      <c r="K27" s="4">
        <v>5.23</v>
      </c>
      <c r="L27" s="28">
        <v>44782.3958333333</v>
      </c>
      <c r="M27">
        <v>73</v>
      </c>
      <c r="S27" t="s">
        <v>790</v>
      </c>
      <c r="T27" s="13" t="str">
        <f t="shared" si="6"/>
        <v>=DISPIMG("ID_AB9CC0FC36584B33ABE1470B59C3303E",1)</v>
      </c>
      <c r="U27" s="13" t="s">
        <v>383</v>
      </c>
      <c r="V27" s="5" t="s">
        <v>581</v>
      </c>
      <c r="W27" s="36" t="s">
        <v>772</v>
      </c>
    </row>
    <row r="28" customHeight="1" spans="1:23">
      <c r="A28" s="5" t="s">
        <v>1660</v>
      </c>
      <c r="B28" s="4">
        <v>6606645.19</v>
      </c>
      <c r="D28" s="4">
        <v>0.1</v>
      </c>
      <c r="F28" s="4">
        <f t="shared" si="1"/>
        <v>0.942477778027745</v>
      </c>
      <c r="G28" s="4">
        <f t="shared" si="2"/>
        <v>5.75222219722551</v>
      </c>
      <c r="H28" s="4">
        <v>6264619.17</v>
      </c>
      <c r="I28" s="4">
        <f t="shared" si="0"/>
        <v>5.17699997750296</v>
      </c>
      <c r="J28">
        <f t="shared" si="3"/>
        <v>3.67699997750296</v>
      </c>
      <c r="K28" s="4">
        <v>1.5</v>
      </c>
      <c r="L28" s="28">
        <v>44785.4583333333</v>
      </c>
      <c r="M28">
        <v>84</v>
      </c>
      <c r="S28" t="s">
        <v>796</v>
      </c>
      <c r="T28" t="str">
        <f>_xlfn.DISPIMG("ID_2075DED061DC483A94E38AC7E8DD6DB4",1)</f>
        <v>=DISPIMG("ID_2075DED061DC483A94E38AC7E8DD6DB4",1)</v>
      </c>
      <c r="U28" t="s">
        <v>39</v>
      </c>
      <c r="V28" s="5" t="s">
        <v>581</v>
      </c>
      <c r="W28" s="36" t="s">
        <v>797</v>
      </c>
    </row>
    <row r="29" customHeight="1" spans="1:23">
      <c r="A29" s="5" t="s">
        <v>1661</v>
      </c>
      <c r="B29" s="4">
        <v>5184518.17</v>
      </c>
      <c r="D29" s="4">
        <v>0.2</v>
      </c>
      <c r="F29" s="4">
        <f t="shared" si="1"/>
        <v>0.912622772233432</v>
      </c>
      <c r="G29" s="4">
        <f t="shared" si="2"/>
        <v>8.7377227766568</v>
      </c>
      <c r="H29" s="4">
        <v>4822111.11</v>
      </c>
      <c r="I29" s="4">
        <f t="shared" si="0"/>
        <v>6.99017822132542</v>
      </c>
      <c r="J29">
        <f t="shared" si="3"/>
        <v>1.39017822132542</v>
      </c>
      <c r="K29" s="4">
        <v>5.6</v>
      </c>
      <c r="L29" s="28">
        <v>44788.4583333333</v>
      </c>
      <c r="M29">
        <v>80</v>
      </c>
      <c r="S29" t="s">
        <v>799</v>
      </c>
      <c r="T29" t="str">
        <f>_xlfn.DISPIMG("ID_2075DED061DC483A94E38AC7E8DD6DB4",1)</f>
        <v>=DISPIMG("ID_2075DED061DC483A94E38AC7E8DD6DB4",1)</v>
      </c>
      <c r="U29" t="s">
        <v>39</v>
      </c>
      <c r="V29" s="5" t="s">
        <v>581</v>
      </c>
      <c r="W29" s="36" t="s">
        <v>797</v>
      </c>
    </row>
    <row r="30" customHeight="1" spans="1:23">
      <c r="A30" s="20" t="s">
        <v>1662</v>
      </c>
      <c r="B30" s="4">
        <v>12731438.7</v>
      </c>
      <c r="C30" s="4">
        <v>11160189.69</v>
      </c>
      <c r="D30" s="4">
        <v>0.1</v>
      </c>
      <c r="F30" s="4">
        <f t="shared" si="1"/>
        <v>0.964000000338619</v>
      </c>
      <c r="G30" s="4">
        <f t="shared" si="2"/>
        <v>3.59999996613806</v>
      </c>
      <c r="H30" s="4">
        <v>12318940.09</v>
      </c>
      <c r="I30" s="4">
        <f t="shared" si="0"/>
        <v>3.23999996952425</v>
      </c>
      <c r="J30">
        <f t="shared" si="3"/>
        <v>1.39000003047575</v>
      </c>
      <c r="K30" s="4">
        <v>4.63</v>
      </c>
      <c r="L30" s="28">
        <v>44798.3958333333</v>
      </c>
      <c r="M30">
        <v>121</v>
      </c>
      <c r="S30" t="s">
        <v>822</v>
      </c>
      <c r="T30" t="str">
        <f>_xlfn.DISPIMG("ID_4B3DF2AEEE564887924D22897D259763",1)</f>
        <v>=DISPIMG("ID_4B3DF2AEEE564887924D22897D259763",1)</v>
      </c>
      <c r="U30" s="13" t="s">
        <v>819</v>
      </c>
      <c r="V30" s="5" t="s">
        <v>581</v>
      </c>
      <c r="W30" s="26" t="s">
        <v>820</v>
      </c>
    </row>
    <row r="31" customHeight="1" spans="1:23">
      <c r="A31" s="20" t="s">
        <v>1663</v>
      </c>
      <c r="B31" s="4">
        <v>12141720.91</v>
      </c>
      <c r="C31" s="4">
        <v>10485346.47</v>
      </c>
      <c r="D31" s="4">
        <v>0.1</v>
      </c>
      <c r="F31" s="4">
        <f t="shared" si="1"/>
        <v>0.94897919933969</v>
      </c>
      <c r="G31" s="4">
        <f t="shared" si="2"/>
        <v>5.10208006603096</v>
      </c>
      <c r="H31" s="4">
        <v>11584188.62</v>
      </c>
      <c r="I31" s="4">
        <f t="shared" si="0"/>
        <v>4.59187205942786</v>
      </c>
      <c r="J31">
        <f t="shared" si="3"/>
        <v>1.49187205942786</v>
      </c>
      <c r="K31" s="4">
        <v>3.1</v>
      </c>
      <c r="L31" s="28">
        <v>44798.3958333333</v>
      </c>
      <c r="M31">
        <v>122</v>
      </c>
      <c r="S31" t="s">
        <v>818</v>
      </c>
      <c r="T31" t="str">
        <f>_xlfn.DISPIMG("ID_4B3DF2AEEE564887924D22897D259763",1)</f>
        <v>=DISPIMG("ID_4B3DF2AEEE564887924D22897D259763",1)</v>
      </c>
      <c r="U31" s="13" t="s">
        <v>819</v>
      </c>
      <c r="V31" s="5" t="s">
        <v>581</v>
      </c>
      <c r="W31" s="26" t="s">
        <v>820</v>
      </c>
    </row>
    <row r="32" customHeight="1" spans="1:23">
      <c r="A32" s="31" t="s">
        <v>1664</v>
      </c>
      <c r="B32" s="4">
        <v>48026921.02</v>
      </c>
      <c r="C32" s="4">
        <v>45510560.04</v>
      </c>
      <c r="D32" s="4">
        <v>0.5</v>
      </c>
      <c r="F32" s="4">
        <f t="shared" si="1"/>
        <v>0.969009818485341</v>
      </c>
      <c r="G32" s="4">
        <f t="shared" si="2"/>
        <v>3.09901815146591</v>
      </c>
      <c r="H32" s="4">
        <v>47282739.52</v>
      </c>
      <c r="I32" s="4">
        <f t="shared" si="0"/>
        <v>1.54950907573297</v>
      </c>
      <c r="J32">
        <f t="shared" si="3"/>
        <v>1.05049092426703</v>
      </c>
      <c r="K32" s="4">
        <v>2.6</v>
      </c>
      <c r="L32" s="28">
        <v>44803.3958333333</v>
      </c>
      <c r="M32">
        <v>22</v>
      </c>
      <c r="S32" t="s">
        <v>835</v>
      </c>
      <c r="T32" t="str">
        <f t="shared" ref="T32:T34" si="7">_xlfn.DISPIMG("ID_9568186C25914BEEA8D1D31958AD2816",1)</f>
        <v>=DISPIMG("ID_9568186C25914BEEA8D1D31958AD2816",1)</v>
      </c>
      <c r="U32" s="13" t="s">
        <v>836</v>
      </c>
      <c r="V32" s="5" t="s">
        <v>581</v>
      </c>
      <c r="W32" s="5" t="s">
        <v>837</v>
      </c>
    </row>
    <row r="33" customHeight="1" spans="1:23">
      <c r="A33" s="32" t="s">
        <v>1665</v>
      </c>
      <c r="B33" s="4">
        <v>43005189.03</v>
      </c>
      <c r="C33" s="4">
        <v>40407757.31</v>
      </c>
      <c r="D33" s="4">
        <v>0.5</v>
      </c>
      <c r="F33" s="4">
        <f t="shared" si="1"/>
        <v>0.957378819129911</v>
      </c>
      <c r="G33" s="4">
        <f t="shared" si="2"/>
        <v>4.26211808700889</v>
      </c>
      <c r="H33" s="4">
        <v>42088723.06</v>
      </c>
      <c r="I33" s="4">
        <f t="shared" si="0"/>
        <v>2.13105904350445</v>
      </c>
      <c r="J33">
        <f t="shared" si="3"/>
        <v>0.13105904350445</v>
      </c>
      <c r="K33" s="4">
        <v>2</v>
      </c>
      <c r="L33" s="28">
        <v>44804.3958333333</v>
      </c>
      <c r="M33">
        <v>44</v>
      </c>
      <c r="S33" t="s">
        <v>842</v>
      </c>
      <c r="T33" t="str">
        <f t="shared" si="7"/>
        <v>=DISPIMG("ID_9568186C25914BEEA8D1D31958AD2816",1)</v>
      </c>
      <c r="U33" s="13" t="s">
        <v>836</v>
      </c>
      <c r="V33" s="5" t="s">
        <v>581</v>
      </c>
      <c r="W33" s="40" t="s">
        <v>843</v>
      </c>
    </row>
    <row r="34" customHeight="1" spans="1:23">
      <c r="A34" s="5" t="s">
        <v>1666</v>
      </c>
      <c r="B34" s="4">
        <v>13956600.82</v>
      </c>
      <c r="D34" s="4">
        <v>0.3</v>
      </c>
      <c r="F34" s="4">
        <f t="shared" si="1"/>
        <v>0.931829406786541</v>
      </c>
      <c r="G34" s="4">
        <f t="shared" si="2"/>
        <v>6.81705932134594</v>
      </c>
      <c r="H34" s="4">
        <v>13290599.99</v>
      </c>
      <c r="I34" s="4">
        <f t="shared" si="0"/>
        <v>4.77194152494218</v>
      </c>
      <c r="J34">
        <f t="shared" si="3"/>
        <v>1.41194152494218</v>
      </c>
      <c r="K34" s="4">
        <v>3.36</v>
      </c>
      <c r="L34" s="28">
        <v>44804.3958333333</v>
      </c>
      <c r="M34">
        <v>47</v>
      </c>
      <c r="S34" t="s">
        <v>839</v>
      </c>
      <c r="T34" t="str">
        <f t="shared" si="7"/>
        <v>=DISPIMG("ID_9568186C25914BEEA8D1D31958AD2816",1)</v>
      </c>
      <c r="U34" s="13" t="s">
        <v>836</v>
      </c>
      <c r="V34" s="5" t="s">
        <v>581</v>
      </c>
      <c r="W34" s="5" t="s">
        <v>840</v>
      </c>
    </row>
    <row r="35" customHeight="1" spans="1:23">
      <c r="A35" s="5" t="s">
        <v>1667</v>
      </c>
      <c r="B35" s="4">
        <v>61276095.35</v>
      </c>
      <c r="C35" s="4">
        <v>60757809.67</v>
      </c>
      <c r="D35" s="4">
        <v>0.5</v>
      </c>
      <c r="F35" s="4">
        <f t="shared" si="1"/>
        <v>0.978098893013097</v>
      </c>
      <c r="G35" s="4">
        <f t="shared" si="2"/>
        <v>2.19011069869029</v>
      </c>
      <c r="H35" s="4">
        <v>60605088.19</v>
      </c>
      <c r="I35" s="4">
        <f t="shared" si="0"/>
        <v>1.09505534934513</v>
      </c>
      <c r="J35">
        <f>ABS(I35-K35)</f>
        <v>0.50494465065487</v>
      </c>
      <c r="K35" s="4">
        <v>1.6</v>
      </c>
      <c r="L35" s="28">
        <v>44831.4583333333</v>
      </c>
      <c r="M35">
        <v>8</v>
      </c>
      <c r="S35" t="s">
        <v>873</v>
      </c>
      <c r="T35" t="str">
        <f>_xlfn.DISPIMG("ID_C9547E7DF0AE4C3C9C86064B6746D9B9",1)</f>
        <v>=DISPIMG("ID_C9547E7DF0AE4C3C9C86064B6746D9B9",1)</v>
      </c>
      <c r="U35" s="13" t="s">
        <v>874</v>
      </c>
      <c r="V35" s="5" t="s">
        <v>581</v>
      </c>
      <c r="W35" s="5" t="s">
        <v>875</v>
      </c>
    </row>
    <row r="36" customHeight="1" spans="1:23">
      <c r="A36" s="5" t="s">
        <v>1668</v>
      </c>
      <c r="B36" s="4">
        <v>44704210.49</v>
      </c>
      <c r="D36" s="4">
        <v>0.5</v>
      </c>
      <c r="F36" s="4">
        <f t="shared" si="1"/>
        <v>0.971057096729414</v>
      </c>
      <c r="G36" s="4">
        <f t="shared" si="2"/>
        <v>2.89429032705864</v>
      </c>
      <c r="H36" s="4">
        <v>44057275.67</v>
      </c>
      <c r="I36" s="4">
        <f t="shared" si="0"/>
        <v>1.44714516352931</v>
      </c>
      <c r="J36">
        <f>ABS(I36-K36)</f>
        <v>3.35285483647069</v>
      </c>
      <c r="K36" s="4">
        <v>4.8</v>
      </c>
      <c r="L36" s="28">
        <v>44848.375</v>
      </c>
      <c r="M36">
        <v>28</v>
      </c>
      <c r="S36" t="s">
        <v>886</v>
      </c>
      <c r="T36" t="str">
        <f>_xlfn.DISPIMG("ID_9568186C25914BEEA8D1D31958AD2816",1)</f>
        <v>=DISPIMG("ID_9568186C25914BEEA8D1D31958AD2816",1)</v>
      </c>
      <c r="U36" s="13" t="s">
        <v>836</v>
      </c>
      <c r="V36" s="5" t="s">
        <v>581</v>
      </c>
      <c r="W36" s="5" t="s">
        <v>887</v>
      </c>
    </row>
    <row r="37" customHeight="1" spans="1:23">
      <c r="A37" s="5" t="s">
        <v>1669</v>
      </c>
      <c r="B37" s="4">
        <v>31820798.08</v>
      </c>
      <c r="D37" s="4">
        <v>0.3</v>
      </c>
      <c r="F37" s="4">
        <f t="shared" si="1"/>
        <v>0.976855193947417</v>
      </c>
      <c r="G37" s="4">
        <f t="shared" si="2"/>
        <v>2.31448060525828</v>
      </c>
      <c r="H37" s="4">
        <v>31305257.74</v>
      </c>
      <c r="I37" s="4">
        <f t="shared" si="0"/>
        <v>1.62013642368079</v>
      </c>
      <c r="J37">
        <f>ABS(I37-K37)</f>
        <v>0.26013642368079</v>
      </c>
      <c r="K37" s="4">
        <v>1.36</v>
      </c>
      <c r="L37" s="28">
        <v>44855.375</v>
      </c>
      <c r="M37">
        <v>57</v>
      </c>
      <c r="S37" t="s">
        <v>895</v>
      </c>
      <c r="T37" t="str">
        <f>_xlfn.DISPIMG("ID_ABE4F101910E4DB9A51FFD1D3CFD0491",1)</f>
        <v>=DISPIMG("ID_ABE4F101910E4DB9A51FFD1D3CFD0491",1)</v>
      </c>
      <c r="U37" s="13" t="s">
        <v>896</v>
      </c>
      <c r="V37" s="5" t="s">
        <v>581</v>
      </c>
      <c r="W37" s="5" t="s">
        <v>897</v>
      </c>
    </row>
    <row r="38" customHeight="1" spans="1:23">
      <c r="A38" s="5" t="s">
        <v>1670</v>
      </c>
      <c r="B38" s="4">
        <v>7609230.38</v>
      </c>
      <c r="C38" s="4">
        <v>7315405.02</v>
      </c>
      <c r="D38" s="4">
        <v>0.3</v>
      </c>
      <c r="F38" s="4">
        <f t="shared" si="1"/>
        <v>0.944714284908122</v>
      </c>
      <c r="G38" s="4">
        <f t="shared" si="2"/>
        <v>5.5285715091878</v>
      </c>
      <c r="H38" s="4">
        <v>7314753.16</v>
      </c>
      <c r="I38" s="4">
        <f t="shared" si="0"/>
        <v>3.87000005643146</v>
      </c>
      <c r="J38">
        <f>ABS(I38-K38)</f>
        <v>0.57000005643146</v>
      </c>
      <c r="K38" s="4">
        <v>3.3</v>
      </c>
      <c r="L38" s="28">
        <v>44855.4583333333</v>
      </c>
      <c r="M38">
        <v>94</v>
      </c>
      <c r="S38" t="s">
        <v>899</v>
      </c>
      <c r="T38" s="13" t="str">
        <f>_xlfn.DISPIMG("ID_5C1B5B8EA2164BF49185CA64500D4BE4",1)</f>
        <v>=DISPIMG("ID_5C1B5B8EA2164BF49185CA64500D4BE4",1)</v>
      </c>
      <c r="U38" s="13" t="s">
        <v>189</v>
      </c>
      <c r="V38" s="5" t="s">
        <v>581</v>
      </c>
      <c r="W38" s="5" t="s">
        <v>900</v>
      </c>
    </row>
    <row r="39" customHeight="1" spans="1:23">
      <c r="A39" s="5" t="s">
        <v>1671</v>
      </c>
      <c r="B39" s="4">
        <v>5993924.24</v>
      </c>
      <c r="C39" s="4">
        <v>5445312.34</v>
      </c>
      <c r="D39" s="4">
        <v>0.2</v>
      </c>
      <c r="F39" s="4">
        <f t="shared" si="1"/>
        <v>0.882999999763093</v>
      </c>
      <c r="G39" s="4">
        <f t="shared" si="2"/>
        <v>11.7000000236907</v>
      </c>
      <c r="H39" s="4">
        <v>5432892.93</v>
      </c>
      <c r="I39" s="4">
        <f t="shared" si="0"/>
        <v>9.36000001895253</v>
      </c>
      <c r="J39">
        <f>ABS(I39-K39)</f>
        <v>7.76000001895253</v>
      </c>
      <c r="K39" s="4">
        <v>1.6</v>
      </c>
      <c r="L39" s="28">
        <v>44908.4583333333</v>
      </c>
      <c r="M39">
        <v>93</v>
      </c>
      <c r="S39" t="s">
        <v>957</v>
      </c>
      <c r="T39" s="13" t="str">
        <f>_xlfn.DISPIMG("ID_2E203B325B204945B1936C111C59F975",1)</f>
        <v>=DISPIMG("ID_2E203B325B204945B1936C111C59F975",1)</v>
      </c>
      <c r="U39" s="13" t="s">
        <v>218</v>
      </c>
      <c r="V39" s="5" t="s">
        <v>581</v>
      </c>
      <c r="W39" s="5" t="s">
        <v>958</v>
      </c>
    </row>
    <row r="40" customHeight="1" spans="1:23">
      <c r="A40" s="5" t="s">
        <v>1672</v>
      </c>
      <c r="B40" s="4">
        <v>9221246.92</v>
      </c>
      <c r="C40" s="4">
        <v>8297884.28</v>
      </c>
      <c r="D40" s="4">
        <v>0.3</v>
      </c>
      <c r="F40" s="4">
        <f t="shared" si="1"/>
        <v>0.91636394348158</v>
      </c>
      <c r="G40" s="4">
        <f t="shared" si="2"/>
        <v>8.36360565184201</v>
      </c>
      <c r="H40" s="4">
        <v>8681386.81</v>
      </c>
      <c r="I40" s="4">
        <f t="shared" si="0"/>
        <v>5.85452395628941</v>
      </c>
      <c r="J40">
        <f>ABS(I40-K40)</f>
        <v>1.74547604371059</v>
      </c>
      <c r="K40" s="4">
        <v>7.6</v>
      </c>
      <c r="L40" s="28">
        <v>44930.375</v>
      </c>
      <c r="M40">
        <v>87</v>
      </c>
      <c r="S40" t="s">
        <v>977</v>
      </c>
      <c r="T40" t="str">
        <f>_xlfn.DISPIMG("ID_D8F0F25F5E9C4095BF1F2A46256D89E5",1)</f>
        <v>=DISPIMG("ID_D8F0F25F5E9C4095BF1F2A46256D89E5",1)</v>
      </c>
      <c r="U40" s="13" t="s">
        <v>978</v>
      </c>
      <c r="V40" s="5" t="s">
        <v>581</v>
      </c>
      <c r="W40" s="36" t="s">
        <v>979</v>
      </c>
    </row>
    <row r="41" customHeight="1" spans="1:22">
      <c r="A41" s="20" t="s">
        <v>1673</v>
      </c>
      <c r="B41" s="4">
        <v>3198000</v>
      </c>
      <c r="D41" s="4">
        <v>0.5</v>
      </c>
      <c r="F41" s="4">
        <f t="shared" si="1"/>
        <v>0.949968730456535</v>
      </c>
      <c r="G41" s="4">
        <f t="shared" si="2"/>
        <v>5.00312695434646</v>
      </c>
      <c r="H41" s="4">
        <v>3118000</v>
      </c>
      <c r="I41" s="4">
        <f t="shared" si="0"/>
        <v>2.50156347717323</v>
      </c>
      <c r="J41">
        <f>ABS(I41-K41)</f>
        <v>1.30156347717323</v>
      </c>
      <c r="K41" s="4">
        <v>1.2</v>
      </c>
      <c r="L41" s="28">
        <v>44945.4583333333</v>
      </c>
      <c r="M41">
        <v>3</v>
      </c>
      <c r="S41" t="s">
        <v>1000</v>
      </c>
      <c r="T41" t="str">
        <f>_xlfn.DISPIMG("ID_AF2D56D0B0614954AC556C641DE1E1AB",1)</f>
        <v>=DISPIMG("ID_AF2D56D0B0614954AC556C641DE1E1AB",1)</v>
      </c>
      <c r="U41" s="13" t="s">
        <v>1001</v>
      </c>
      <c r="V41" s="20" t="s">
        <v>1002</v>
      </c>
    </row>
    <row r="42" customHeight="1" spans="1:22">
      <c r="A42" s="5" t="s">
        <v>1674</v>
      </c>
      <c r="B42" s="4">
        <v>7593378.53</v>
      </c>
      <c r="C42" s="4">
        <v>6991816.23</v>
      </c>
      <c r="D42" s="4">
        <v>0.1</v>
      </c>
      <c r="F42" s="4">
        <f t="shared" si="1"/>
        <v>0.92805693245949</v>
      </c>
      <c r="G42" s="4">
        <f t="shared" si="2"/>
        <v>7.19430675405096</v>
      </c>
      <c r="H42" s="4">
        <v>7101716.68</v>
      </c>
      <c r="I42" s="4">
        <f t="shared" si="0"/>
        <v>6.47487607864585</v>
      </c>
      <c r="J42">
        <f>ABS(I42-K42)</f>
        <v>0.20512392135415</v>
      </c>
      <c r="K42" s="4">
        <v>6.68</v>
      </c>
      <c r="L42" s="28">
        <v>44958.375</v>
      </c>
      <c r="M42">
        <v>58</v>
      </c>
      <c r="S42" t="s">
        <v>1011</v>
      </c>
      <c r="T42" t="str">
        <f>_xlfn.DISPIMG("ID_91259612580E46CD984CF7BF9131F10C",1)</f>
        <v>=DISPIMG("ID_91259612580E46CD984CF7BF9131F10C",1)</v>
      </c>
      <c r="U42" s="13" t="s">
        <v>650</v>
      </c>
      <c r="V42" s="5" t="s">
        <v>581</v>
      </c>
    </row>
    <row r="43" customHeight="1" spans="1:22">
      <c r="A43" s="5" t="s">
        <v>1675</v>
      </c>
      <c r="B43" s="4">
        <v>11437938.76</v>
      </c>
      <c r="C43" s="4">
        <v>10908305.57</v>
      </c>
      <c r="D43" s="4">
        <v>0.3</v>
      </c>
      <c r="F43" s="4">
        <f t="shared" si="1"/>
        <v>0.970689477870324</v>
      </c>
      <c r="G43" s="4">
        <f t="shared" si="2"/>
        <v>2.93105221296756</v>
      </c>
      <c r="H43" s="4">
        <v>11203262.39</v>
      </c>
      <c r="I43" s="4">
        <f t="shared" si="0"/>
        <v>2.0517365490773</v>
      </c>
      <c r="J43">
        <f>ABS(I43-K43)</f>
        <v>3.5482634509227</v>
      </c>
      <c r="K43" s="4">
        <v>5.6</v>
      </c>
      <c r="L43" s="28">
        <v>44959.375</v>
      </c>
      <c r="M43">
        <v>93</v>
      </c>
      <c r="S43" t="s">
        <v>1013</v>
      </c>
      <c r="T43" t="str">
        <f>_xlfn.DISPIMG("ID_91259612580E46CD984CF7BF9131F10C",1)</f>
        <v>=DISPIMG("ID_91259612580E46CD984CF7BF9131F10C",1)</v>
      </c>
      <c r="U43" s="13" t="s">
        <v>650</v>
      </c>
      <c r="V43" s="5" t="s">
        <v>581</v>
      </c>
    </row>
    <row r="44" customHeight="1" spans="1:22">
      <c r="A44" s="5" t="s">
        <v>1676</v>
      </c>
      <c r="B44" s="4">
        <v>9920135.04</v>
      </c>
      <c r="C44" s="4">
        <v>9580573.93</v>
      </c>
      <c r="D44" s="4">
        <v>0.3</v>
      </c>
      <c r="F44" s="4">
        <f t="shared" si="1"/>
        <v>0.950957027064249</v>
      </c>
      <c r="G44" s="4">
        <f t="shared" si="2"/>
        <v>4.90429729357508</v>
      </c>
      <c r="H44" s="4">
        <v>9579576</v>
      </c>
      <c r="I44" s="4">
        <f t="shared" si="0"/>
        <v>3.43300810550255</v>
      </c>
      <c r="J44">
        <f>ABS(I44-K44)</f>
        <v>1.16699189449745</v>
      </c>
      <c r="K44" s="4">
        <v>4.6</v>
      </c>
      <c r="L44" s="28">
        <v>44966.3958333333</v>
      </c>
      <c r="M44">
        <v>102</v>
      </c>
      <c r="S44" t="s">
        <v>1032</v>
      </c>
      <c r="T44" s="13" t="str">
        <f>_xlfn.DISPIMG("ID_5C1B5B8EA2164BF49185CA64500D4BE4",1)</f>
        <v>=DISPIMG("ID_5C1B5B8EA2164BF49185CA64500D4BE4",1)</v>
      </c>
      <c r="U44" s="13" t="s">
        <v>189</v>
      </c>
      <c r="V44" s="5" t="s">
        <v>581</v>
      </c>
    </row>
    <row r="45" customHeight="1" spans="1:23">
      <c r="A45" s="18" t="s">
        <v>1677</v>
      </c>
      <c r="B45" s="4">
        <v>11387502.29</v>
      </c>
      <c r="D45" s="4">
        <v>0.2</v>
      </c>
      <c r="F45" s="4">
        <f t="shared" si="1"/>
        <v>0.970796659001155</v>
      </c>
      <c r="G45" s="4">
        <f t="shared" si="2"/>
        <v>2.92033409988451</v>
      </c>
      <c r="H45" s="4">
        <v>11121459.8</v>
      </c>
      <c r="I45" s="4">
        <f t="shared" si="0"/>
        <v>2.3362672799076</v>
      </c>
      <c r="J45">
        <f>ABS(I45-K45)</f>
        <v>0.2637327200924</v>
      </c>
      <c r="K45" s="4">
        <v>2.6</v>
      </c>
      <c r="L45" s="28">
        <v>44965.4375</v>
      </c>
      <c r="M45">
        <v>10</v>
      </c>
      <c r="S45" t="s">
        <v>1025</v>
      </c>
      <c r="T45" t="str">
        <f>_xlfn.DISPIMG("ID_9D905B3F3C0647F3990274F37391156C",1)</f>
        <v>=DISPIMG("ID_9D905B3F3C0647F3990274F37391156C",1)</v>
      </c>
      <c r="U45" s="13" t="s">
        <v>1026</v>
      </c>
      <c r="V45" s="18" t="s">
        <v>1027</v>
      </c>
      <c r="W45" s="18" t="s">
        <v>1028</v>
      </c>
    </row>
    <row r="46" customHeight="1" spans="1:23">
      <c r="A46" s="5" t="s">
        <v>1678</v>
      </c>
      <c r="B46" s="4">
        <v>7600175.64</v>
      </c>
      <c r="C46" s="4">
        <v>7185874.23</v>
      </c>
      <c r="D46" s="4">
        <v>0.2</v>
      </c>
      <c r="F46" s="4">
        <f t="shared" si="1"/>
        <v>0.964591020622781</v>
      </c>
      <c r="G46" s="4">
        <f t="shared" si="2"/>
        <v>3.54089793772185</v>
      </c>
      <c r="H46" s="4">
        <v>7384884.07</v>
      </c>
      <c r="I46" s="4">
        <f t="shared" si="0"/>
        <v>2.83271835017749</v>
      </c>
      <c r="J46">
        <f>ABS(I46-K46)</f>
        <v>0.72728164982251</v>
      </c>
      <c r="K46" s="4">
        <v>3.56</v>
      </c>
      <c r="L46" s="28">
        <v>45007.3958333333</v>
      </c>
      <c r="M46">
        <v>1123</v>
      </c>
      <c r="S46" t="s">
        <v>1056</v>
      </c>
      <c r="T46" t="str">
        <f>_xlfn.DISPIMG("ID_551AB00842DD4707AE7EFED2FE04BA86",1)</f>
        <v>=DISPIMG("ID_551AB00842DD4707AE7EFED2FE04BA86",1)</v>
      </c>
      <c r="U46" s="13" t="s">
        <v>1057</v>
      </c>
      <c r="V46" s="5" t="s">
        <v>581</v>
      </c>
      <c r="W46" s="5" t="s">
        <v>1058</v>
      </c>
    </row>
    <row r="47" customHeight="1" spans="1:23">
      <c r="A47" s="5" t="s">
        <v>1679</v>
      </c>
      <c r="B47" s="4">
        <v>7192279.2</v>
      </c>
      <c r="C47" s="4">
        <v>6962421.4</v>
      </c>
      <c r="D47" s="4">
        <v>0.2</v>
      </c>
      <c r="F47" s="4">
        <f t="shared" si="1"/>
        <v>0.977344440062894</v>
      </c>
      <c r="G47" s="4">
        <f t="shared" si="2"/>
        <v>2.26555599371059</v>
      </c>
      <c r="H47" s="4">
        <v>7061923.11</v>
      </c>
      <c r="I47" s="4">
        <f t="shared" si="0"/>
        <v>1.81244479496847</v>
      </c>
      <c r="K47" s="4">
        <v>1.86</v>
      </c>
      <c r="L47" s="28">
        <v>45008.3958333333</v>
      </c>
      <c r="M47">
        <v>1135</v>
      </c>
      <c r="S47" t="s">
        <v>1060</v>
      </c>
      <c r="T47" t="str">
        <f>_xlfn.DISPIMG("ID_4B3DF2AEEE564887924D22897D259763",1)</f>
        <v>=DISPIMG("ID_4B3DF2AEEE564887924D22897D259763",1)</v>
      </c>
      <c r="U47" s="13" t="s">
        <v>819</v>
      </c>
      <c r="V47" s="5" t="s">
        <v>581</v>
      </c>
      <c r="W47" s="5" t="s">
        <v>1058</v>
      </c>
    </row>
    <row r="48" customHeight="1" spans="1:23">
      <c r="A48" s="31" t="s">
        <v>1680</v>
      </c>
      <c r="B48" s="4">
        <v>4314242.27</v>
      </c>
      <c r="C48" s="4">
        <v>4091163.77</v>
      </c>
      <c r="D48" s="4">
        <v>0.3</v>
      </c>
      <c r="F48" s="4">
        <f t="shared" si="1"/>
        <v>0.898942525410974</v>
      </c>
      <c r="G48" s="4">
        <f t="shared" si="2"/>
        <v>10.1057474589026</v>
      </c>
      <c r="H48" s="4">
        <v>4009051.77</v>
      </c>
      <c r="I48" s="4">
        <f t="shared" si="0"/>
        <v>7.07402322123184</v>
      </c>
      <c r="K48" s="4">
        <v>3.6</v>
      </c>
      <c r="L48" s="28">
        <v>45015.375</v>
      </c>
      <c r="M48">
        <v>713</v>
      </c>
      <c r="S48" t="s">
        <v>1062</v>
      </c>
      <c r="T48" t="str">
        <f>_xlfn.DISPIMG("ID_D8F0F25F5E9C4095BF1F2A46256D89E5",1)</f>
        <v>=DISPIMG("ID_D8F0F25F5E9C4095BF1F2A46256D89E5",1)</v>
      </c>
      <c r="U48" s="13" t="s">
        <v>978</v>
      </c>
      <c r="V48" s="5" t="s">
        <v>581</v>
      </c>
      <c r="W48" s="41" t="s">
        <v>1063</v>
      </c>
    </row>
    <row r="49" customHeight="1" spans="1:23">
      <c r="A49" s="5" t="s">
        <v>1681</v>
      </c>
      <c r="B49" s="4">
        <v>12960620.19</v>
      </c>
      <c r="C49" s="4">
        <v>12262082.78</v>
      </c>
      <c r="D49" s="4">
        <v>0.3</v>
      </c>
      <c r="F49" s="4">
        <f t="shared" si="1"/>
        <v>0.921700000288115</v>
      </c>
      <c r="G49" s="4">
        <f t="shared" si="2"/>
        <v>7.82999997118854</v>
      </c>
      <c r="H49" s="4">
        <v>12250248.6</v>
      </c>
      <c r="I49" s="4">
        <f t="shared" si="0"/>
        <v>5.48099997983198</v>
      </c>
      <c r="K49" s="4">
        <v>2.86</v>
      </c>
      <c r="L49" s="28">
        <v>45029.4583333333</v>
      </c>
      <c r="M49">
        <v>240</v>
      </c>
      <c r="S49" t="s">
        <v>1083</v>
      </c>
      <c r="T49" t="str">
        <f t="shared" ref="T49:T51" si="8">_xlfn.DISPIMG("ID_7CFD3D00FB5F4930830C4CD282BB90A8",1)</f>
        <v>=DISPIMG("ID_7CFD3D00FB5F4930830C4CD282BB90A8",1)</v>
      </c>
      <c r="U49" s="13" t="s">
        <v>1084</v>
      </c>
      <c r="V49" s="5" t="s">
        <v>581</v>
      </c>
      <c r="W49" s="5" t="s">
        <v>1085</v>
      </c>
    </row>
    <row r="50" customHeight="1" spans="1:23">
      <c r="A50" s="33" t="s">
        <v>1682</v>
      </c>
      <c r="B50" s="4">
        <v>5841981.73</v>
      </c>
      <c r="C50" s="4">
        <v>5729621.45</v>
      </c>
      <c r="D50" s="4">
        <v>0.3</v>
      </c>
      <c r="F50" s="4">
        <f t="shared" si="1"/>
        <v>0.972357141995278</v>
      </c>
      <c r="G50" s="4">
        <f t="shared" si="2"/>
        <v>2.76428580047224</v>
      </c>
      <c r="H50" s="4">
        <v>5728939.38</v>
      </c>
      <c r="I50" s="4">
        <f t="shared" si="0"/>
        <v>1.93500006033057</v>
      </c>
      <c r="K50" s="4">
        <v>3.66</v>
      </c>
      <c r="L50" s="28">
        <v>45030.3958333333</v>
      </c>
      <c r="M50">
        <v>1041</v>
      </c>
      <c r="S50" t="s">
        <v>1087</v>
      </c>
      <c r="T50" t="str">
        <f t="shared" si="8"/>
        <v>=DISPIMG("ID_7CFD3D00FB5F4930830C4CD282BB90A8",1)</v>
      </c>
      <c r="U50" s="13" t="s">
        <v>1084</v>
      </c>
      <c r="V50" s="5" t="s">
        <v>581</v>
      </c>
      <c r="W50" s="33" t="s">
        <v>1088</v>
      </c>
    </row>
    <row r="51" customHeight="1" spans="1:22">
      <c r="A51" s="5" t="s">
        <v>1683</v>
      </c>
      <c r="B51" s="4">
        <v>9046007</v>
      </c>
      <c r="D51" s="4">
        <v>0.2</v>
      </c>
      <c r="F51" s="4">
        <f t="shared" si="1"/>
        <v>0.919999923723251</v>
      </c>
      <c r="G51" s="4">
        <f t="shared" si="2"/>
        <v>8.00000762767485</v>
      </c>
      <c r="H51" s="4">
        <v>8467062</v>
      </c>
      <c r="I51" s="4">
        <f t="shared" si="0"/>
        <v>6.40000610213987</v>
      </c>
      <c r="K51" s="4">
        <v>7.3</v>
      </c>
      <c r="L51" s="28">
        <v>45041.375</v>
      </c>
      <c r="M51">
        <v>178</v>
      </c>
      <c r="S51" t="s">
        <v>1110</v>
      </c>
      <c r="T51" t="str">
        <f t="shared" si="8"/>
        <v>=DISPIMG("ID_7CFD3D00FB5F4930830C4CD282BB90A8",1)</v>
      </c>
      <c r="U51" s="13" t="s">
        <v>1084</v>
      </c>
      <c r="V51" s="5" t="s">
        <v>581</v>
      </c>
    </row>
    <row r="52" customHeight="1" spans="1:22">
      <c r="A52" s="34" t="s">
        <v>1684</v>
      </c>
      <c r="B52" s="4">
        <v>11507948.38</v>
      </c>
      <c r="C52" s="4">
        <v>9188026.03</v>
      </c>
      <c r="D52" s="4">
        <v>0.2</v>
      </c>
      <c r="F52" s="4">
        <f t="shared" si="1"/>
        <v>0.883105350920943</v>
      </c>
      <c r="G52" s="4">
        <f t="shared" si="2"/>
        <v>11.6894649079057</v>
      </c>
      <c r="H52" s="4">
        <v>10431774.31</v>
      </c>
      <c r="I52" s="4">
        <f t="shared" si="0"/>
        <v>9.35157192632455</v>
      </c>
      <c r="K52" s="4">
        <v>5.86</v>
      </c>
      <c r="L52" s="28">
        <v>45051.3541666667</v>
      </c>
      <c r="M52">
        <v>87</v>
      </c>
      <c r="S52" t="s">
        <v>1130</v>
      </c>
      <c r="T52" s="13" t="str">
        <f>_xlfn.DISPIMG("ID_5C1B5B8EA2164BF49185CA64500D4BE4",1)</f>
        <v>=DISPIMG("ID_5C1B5B8EA2164BF49185CA64500D4BE4",1)</v>
      </c>
      <c r="U52" s="13" t="s">
        <v>189</v>
      </c>
      <c r="V52" s="5" t="s">
        <v>581</v>
      </c>
    </row>
    <row r="53" customHeight="1" spans="1:22">
      <c r="A53" s="18" t="s">
        <v>1685</v>
      </c>
      <c r="B53" s="4">
        <v>23277209.53</v>
      </c>
      <c r="D53" s="4">
        <v>0.3</v>
      </c>
      <c r="F53" s="4">
        <f t="shared" si="1"/>
        <v>0.95171521563147</v>
      </c>
      <c r="G53" s="4">
        <f t="shared" si="2"/>
        <v>4.82847843685302</v>
      </c>
      <c r="H53" s="4">
        <v>22490455</v>
      </c>
      <c r="I53" s="4">
        <f t="shared" si="0"/>
        <v>3.37993490579711</v>
      </c>
      <c r="K53" s="4">
        <v>1.46</v>
      </c>
      <c r="L53" s="28">
        <v>45050.375</v>
      </c>
      <c r="M53">
        <v>39</v>
      </c>
      <c r="S53" t="s">
        <v>1115</v>
      </c>
      <c r="T53" t="str">
        <f>_xlfn.DISPIMG("ID_78D091679EC1484B9B58638A575F8F94",1)</f>
        <v>=DISPIMG("ID_78D091679EC1484B9B58638A575F8F94",1)</v>
      </c>
      <c r="U53" s="13" t="s">
        <v>1116</v>
      </c>
      <c r="V53" s="5" t="s">
        <v>581</v>
      </c>
    </row>
    <row r="54" customHeight="1" spans="1:22">
      <c r="A54" s="18" t="s">
        <v>1686</v>
      </c>
      <c r="B54" s="4">
        <v>23277209.53</v>
      </c>
      <c r="D54" s="4">
        <v>0.2</v>
      </c>
      <c r="F54" s="4">
        <f t="shared" si="1"/>
        <v>0.974982500082346</v>
      </c>
      <c r="G54" s="4">
        <f t="shared" si="2"/>
        <v>2.50174999176545</v>
      </c>
      <c r="H54" s="4">
        <v>22811339.46</v>
      </c>
      <c r="I54" s="4">
        <f t="shared" si="0"/>
        <v>2.00139999341236</v>
      </c>
      <c r="K54" s="4">
        <v>3.37</v>
      </c>
      <c r="L54" s="28">
        <v>45050.375</v>
      </c>
      <c r="M54">
        <v>39</v>
      </c>
      <c r="S54" t="s">
        <v>1118</v>
      </c>
      <c r="T54" t="str">
        <f>_xlfn.DISPIMG("ID_78D091679EC1484B9B58638A575F8F94",1)</f>
        <v>=DISPIMG("ID_78D091679EC1484B9B58638A575F8F94",1)</v>
      </c>
      <c r="U54" s="13" t="s">
        <v>1119</v>
      </c>
      <c r="V54" s="5" t="s">
        <v>581</v>
      </c>
    </row>
    <row r="55" customHeight="1" spans="1:22">
      <c r="A55" s="5" t="s">
        <v>1687</v>
      </c>
      <c r="B55" s="4">
        <v>9341707.37</v>
      </c>
      <c r="D55" s="4">
        <v>0.3</v>
      </c>
      <c r="F55" s="4">
        <f t="shared" si="1"/>
        <v>0.975241576973403</v>
      </c>
      <c r="G55" s="4">
        <f t="shared" si="2"/>
        <v>2.47584230265973</v>
      </c>
      <c r="H55" s="4">
        <v>9179807.21</v>
      </c>
      <c r="I55" s="4">
        <f t="shared" si="0"/>
        <v>1.7330896118618</v>
      </c>
      <c r="K55" s="4">
        <v>4.52</v>
      </c>
      <c r="L55" s="28">
        <v>45051.375</v>
      </c>
      <c r="M55">
        <v>793</v>
      </c>
      <c r="S55" t="s">
        <v>1132</v>
      </c>
      <c r="T55" t="str">
        <f>_xlfn.DISPIMG("ID_4B3DF2AEEE564887924D22897D259763",1)</f>
        <v>=DISPIMG("ID_4B3DF2AEEE564887924D22897D259763",1)</v>
      </c>
      <c r="U55" s="13" t="s">
        <v>819</v>
      </c>
      <c r="V55" s="5" t="s">
        <v>581</v>
      </c>
    </row>
    <row r="56" customHeight="1" spans="1:23">
      <c r="A56" s="5" t="s">
        <v>1688</v>
      </c>
      <c r="B56" s="4">
        <v>14567330.1</v>
      </c>
      <c r="C56" s="4">
        <v>13502149.75</v>
      </c>
      <c r="D56" s="4">
        <v>0.1</v>
      </c>
      <c r="F56" s="4">
        <f t="shared" si="1"/>
        <v>0.916899999861105</v>
      </c>
      <c r="G56" s="4">
        <f t="shared" si="2"/>
        <v>8.31000001388952</v>
      </c>
      <c r="H56" s="4">
        <v>13477839.48</v>
      </c>
      <c r="I56" s="4">
        <f t="shared" si="0"/>
        <v>7.47900001250058</v>
      </c>
      <c r="K56" s="4">
        <v>5.8</v>
      </c>
      <c r="L56" s="28">
        <v>45063.4583333333</v>
      </c>
      <c r="M56">
        <v>443</v>
      </c>
      <c r="S56" t="s">
        <v>1160</v>
      </c>
      <c r="T56" t="str">
        <f>_xlfn.DISPIMG("ID_D8F0F25F5E9C4095BF1F2A46256D89E5",1)</f>
        <v>=DISPIMG("ID_D8F0F25F5E9C4095BF1F2A46256D89E5",1)</v>
      </c>
      <c r="U56" s="13" t="s">
        <v>978</v>
      </c>
      <c r="V56" s="5" t="s">
        <v>581</v>
      </c>
      <c r="W56" s="5" t="s">
        <v>1161</v>
      </c>
    </row>
    <row r="57" customHeight="1" spans="1:23">
      <c r="A57" s="5" t="s">
        <v>1689</v>
      </c>
      <c r="B57" s="4">
        <v>19756166.39</v>
      </c>
      <c r="C57" s="4">
        <v>18297306.73</v>
      </c>
      <c r="D57" s="4">
        <v>0.3</v>
      </c>
      <c r="F57" s="4">
        <f t="shared" si="1"/>
        <v>0.891714285161981</v>
      </c>
      <c r="G57" s="4">
        <f t="shared" si="2"/>
        <v>10.8285714838019</v>
      </c>
      <c r="H57" s="4">
        <v>18258648.97</v>
      </c>
      <c r="I57" s="4">
        <f t="shared" si="0"/>
        <v>7.58000003866135</v>
      </c>
      <c r="K57" s="4">
        <v>6.3</v>
      </c>
      <c r="L57" s="28">
        <v>45063.4583333333</v>
      </c>
      <c r="M57">
        <v>437</v>
      </c>
      <c r="S57" t="s">
        <v>1163</v>
      </c>
      <c r="T57" t="str">
        <f>_xlfn.DISPIMG("ID_D8F0F25F5E9C4095BF1F2A46256D89E5",1)</f>
        <v>=DISPIMG("ID_D8F0F25F5E9C4095BF1F2A46256D89E5",1)</v>
      </c>
      <c r="U57" s="13" t="s">
        <v>978</v>
      </c>
      <c r="V57" s="5" t="s">
        <v>581</v>
      </c>
      <c r="W57" s="5" t="s">
        <v>1161</v>
      </c>
    </row>
    <row r="58" customHeight="1" spans="1:22">
      <c r="A58" s="18" t="s">
        <v>1690</v>
      </c>
      <c r="B58" s="4">
        <v>27290687.62</v>
      </c>
      <c r="D58" s="4">
        <v>0.4</v>
      </c>
      <c r="F58" s="4">
        <f t="shared" si="1"/>
        <v>0.971841071673713</v>
      </c>
      <c r="G58" s="4">
        <f t="shared" si="2"/>
        <v>2.81589283262869</v>
      </c>
      <c r="H58" s="4">
        <v>26829601.71</v>
      </c>
      <c r="I58" s="4">
        <f t="shared" si="0"/>
        <v>1.68953569957722</v>
      </c>
      <c r="K58" s="4">
        <v>6.5</v>
      </c>
      <c r="L58" s="28">
        <v>45071.375</v>
      </c>
      <c r="M58">
        <v>26</v>
      </c>
      <c r="S58" t="s">
        <v>1180</v>
      </c>
      <c r="T58" t="str">
        <f>_xlfn.DISPIMG("ID_D707B0B32DEF47918A05A95B928615A0",1)</f>
        <v>=DISPIMG("ID_D707B0B32DEF47918A05A95B928615A0",1)</v>
      </c>
      <c r="U58" s="13" t="s">
        <v>1181</v>
      </c>
      <c r="V58" s="5" t="s">
        <v>581</v>
      </c>
    </row>
    <row r="59" customHeight="1" spans="1:23">
      <c r="A59" s="5" t="s">
        <v>1691</v>
      </c>
      <c r="B59" s="4">
        <v>17803708.16</v>
      </c>
      <c r="D59" s="4">
        <v>0.3</v>
      </c>
      <c r="F59" s="4">
        <f t="shared" si="1"/>
        <v>0.970467178868235</v>
      </c>
      <c r="G59" s="4">
        <f t="shared" si="2"/>
        <v>2.95328211317651</v>
      </c>
      <c r="H59" s="4">
        <v>17435652.55</v>
      </c>
      <c r="I59" s="4">
        <f t="shared" si="0"/>
        <v>2.06729747922357</v>
      </c>
      <c r="K59" s="4">
        <v>3.68</v>
      </c>
      <c r="L59" s="28">
        <v>45079.375</v>
      </c>
      <c r="M59">
        <v>287</v>
      </c>
      <c r="S59" t="s">
        <v>1198</v>
      </c>
      <c r="T59" t="str">
        <f>_xlfn.DISPIMG("ID_4B3DF2AEEE564887924D22897D259763",1)</f>
        <v>=DISPIMG("ID_4B3DF2AEEE564887924D22897D259763",1)</v>
      </c>
      <c r="U59" s="13" t="s">
        <v>819</v>
      </c>
      <c r="V59" s="5" t="s">
        <v>581</v>
      </c>
      <c r="W59" s="42" t="s">
        <v>1199</v>
      </c>
    </row>
    <row r="60" customHeight="1" spans="1:22">
      <c r="A60" s="5" t="s">
        <v>1692</v>
      </c>
      <c r="B60" s="4">
        <v>9538437.8</v>
      </c>
      <c r="C60" s="4">
        <v>9426619.48</v>
      </c>
      <c r="D60" s="4">
        <v>0.3</v>
      </c>
      <c r="F60" s="4">
        <f t="shared" si="1"/>
        <v>0.98309999987629</v>
      </c>
      <c r="G60" s="4">
        <f t="shared" si="2"/>
        <v>1.690000012371</v>
      </c>
      <c r="H60" s="4">
        <v>9425598.08</v>
      </c>
      <c r="I60" s="4">
        <f t="shared" si="0"/>
        <v>1.1830000086597</v>
      </c>
      <c r="K60" s="4">
        <v>2.56</v>
      </c>
      <c r="L60" s="28">
        <v>45077.3958333333</v>
      </c>
      <c r="M60">
        <v>981</v>
      </c>
      <c r="S60" t="s">
        <v>1189</v>
      </c>
      <c r="T60" t="str">
        <f t="shared" ref="T60:T62" si="9">_xlfn.DISPIMG("ID_FFF8C7284D774ED28F329725866D2CC2",1)</f>
        <v>=DISPIMG("ID_FFF8C7284D774ED28F329725866D2CC2",1)</v>
      </c>
      <c r="U60" s="13" t="s">
        <v>1187</v>
      </c>
      <c r="V60" s="5" t="s">
        <v>581</v>
      </c>
    </row>
    <row r="61" customHeight="1" spans="1:22">
      <c r="A61" s="5" t="s">
        <v>1693</v>
      </c>
      <c r="B61" s="4">
        <v>9244448.27</v>
      </c>
      <c r="C61" s="4">
        <v>9135543.68</v>
      </c>
      <c r="D61" s="4">
        <v>0.3</v>
      </c>
      <c r="F61" s="4">
        <f t="shared" si="1"/>
        <v>0.98298401425313</v>
      </c>
      <c r="G61" s="4">
        <f t="shared" si="2"/>
        <v>1.701598574687</v>
      </c>
      <c r="H61" s="4">
        <v>9134335.89</v>
      </c>
      <c r="I61" s="4">
        <f t="shared" si="0"/>
        <v>1.19111900228091</v>
      </c>
      <c r="K61" s="4">
        <v>1.6</v>
      </c>
      <c r="L61" s="28">
        <v>45077.3958333333</v>
      </c>
      <c r="M61">
        <v>984</v>
      </c>
      <c r="S61" t="s">
        <v>1186</v>
      </c>
      <c r="T61" t="str">
        <f t="shared" si="9"/>
        <v>=DISPIMG("ID_FFF8C7284D774ED28F329725866D2CC2",1)</v>
      </c>
      <c r="U61" s="13" t="s">
        <v>1187</v>
      </c>
      <c r="V61" s="5" t="s">
        <v>581</v>
      </c>
    </row>
    <row r="62" customHeight="1" spans="1:22">
      <c r="A62" s="5" t="s">
        <v>1694</v>
      </c>
      <c r="B62" s="4">
        <v>9788937.86</v>
      </c>
      <c r="D62" s="4">
        <v>0.3</v>
      </c>
      <c r="F62" s="4">
        <f t="shared" si="1"/>
        <v>0.981463571895926</v>
      </c>
      <c r="G62" s="4">
        <f t="shared" si="2"/>
        <v>1.85364281040742</v>
      </c>
      <c r="H62" s="4">
        <v>9661921.5</v>
      </c>
      <c r="I62" s="4">
        <f t="shared" si="0"/>
        <v>1.29754996728521</v>
      </c>
      <c r="K62" s="4">
        <v>1.2</v>
      </c>
      <c r="L62" s="28">
        <v>45077.3958333333</v>
      </c>
      <c r="M62">
        <v>979</v>
      </c>
      <c r="S62" t="s">
        <v>1191</v>
      </c>
      <c r="T62" t="str">
        <f t="shared" si="9"/>
        <v>=DISPIMG("ID_FFF8C7284D774ED28F329725866D2CC2",1)</v>
      </c>
      <c r="U62" s="13" t="s">
        <v>1187</v>
      </c>
      <c r="V62" s="5" t="s">
        <v>581</v>
      </c>
    </row>
    <row r="63" customHeight="1" spans="1:22">
      <c r="A63" s="5" t="s">
        <v>1695</v>
      </c>
      <c r="B63" s="4">
        <v>10661077.26</v>
      </c>
      <c r="C63" s="4">
        <v>10403356.37</v>
      </c>
      <c r="D63" s="4">
        <v>0.2</v>
      </c>
      <c r="F63" s="4">
        <f t="shared" si="1"/>
        <v>0.969499999430639</v>
      </c>
      <c r="G63" s="4">
        <f t="shared" si="2"/>
        <v>3.05000005693608</v>
      </c>
      <c r="H63" s="4">
        <v>10400946.97</v>
      </c>
      <c r="I63" s="4">
        <f t="shared" si="0"/>
        <v>2.44000004554886</v>
      </c>
      <c r="K63" s="4">
        <v>1.56</v>
      </c>
      <c r="L63" s="28">
        <v>45104.5208333333</v>
      </c>
      <c r="M63">
        <v>125</v>
      </c>
      <c r="S63" t="s">
        <v>1235</v>
      </c>
      <c r="T63" t="str">
        <f t="shared" ref="T63:T70" si="10">_xlfn.DISPIMG("ID_4B3DF2AEEE564887924D22897D259763",1)</f>
        <v>=DISPIMG("ID_4B3DF2AEEE564887924D22897D259763",1)</v>
      </c>
      <c r="U63" s="13" t="s">
        <v>819</v>
      </c>
      <c r="V63" s="5" t="s">
        <v>581</v>
      </c>
    </row>
    <row r="64" customHeight="1" spans="1:22">
      <c r="A64" s="5" t="s">
        <v>1696</v>
      </c>
      <c r="B64" s="4">
        <v>10964959.53</v>
      </c>
      <c r="C64" s="4">
        <v>10789419.3</v>
      </c>
      <c r="D64" s="4">
        <v>0.1</v>
      </c>
      <c r="F64" s="4">
        <f t="shared" si="1"/>
        <v>0.981888888923241</v>
      </c>
      <c r="G64" s="4">
        <f t="shared" si="2"/>
        <v>1.81111110767593</v>
      </c>
      <c r="H64" s="4">
        <v>10786230.69</v>
      </c>
      <c r="I64" s="4">
        <f t="shared" si="0"/>
        <v>1.62999999690832</v>
      </c>
      <c r="K64" s="4">
        <v>1.2</v>
      </c>
      <c r="L64" s="28">
        <v>45105.4583333333</v>
      </c>
      <c r="M64">
        <v>71</v>
      </c>
      <c r="S64" t="s">
        <v>1241</v>
      </c>
      <c r="T64" t="str">
        <f t="shared" si="10"/>
        <v>=DISPIMG("ID_4B3DF2AEEE564887924D22897D259763",1)</v>
      </c>
      <c r="U64" s="13" t="s">
        <v>819</v>
      </c>
      <c r="V64" s="5" t="s">
        <v>581</v>
      </c>
    </row>
    <row r="65" customHeight="1" spans="1:22">
      <c r="A65" s="5" t="s">
        <v>1697</v>
      </c>
      <c r="B65" s="4">
        <v>9887587.54</v>
      </c>
      <c r="C65" s="4">
        <v>9762793.71</v>
      </c>
      <c r="D65" s="4">
        <v>0.3</v>
      </c>
      <c r="F65" s="4">
        <f t="shared" si="1"/>
        <v>0.981774429015935</v>
      </c>
      <c r="G65" s="4">
        <f t="shared" si="2"/>
        <v>1.82255709840651</v>
      </c>
      <c r="H65" s="4">
        <v>9761442.69</v>
      </c>
      <c r="I65" s="4">
        <f t="shared" si="0"/>
        <v>1.27578996888455</v>
      </c>
      <c r="K65" s="4">
        <v>1.3</v>
      </c>
      <c r="L65" s="28">
        <v>45077.3958333333</v>
      </c>
      <c r="M65">
        <v>972</v>
      </c>
      <c r="S65" t="s">
        <v>1193</v>
      </c>
      <c r="T65" t="str">
        <f>_xlfn.DISPIMG("ID_FFF8C7284D774ED28F329725866D2CC2",1)</f>
        <v>=DISPIMG("ID_FFF8C7284D774ED28F329725866D2CC2",1)</v>
      </c>
      <c r="U65" s="13" t="s">
        <v>1187</v>
      </c>
      <c r="V65" s="5" t="s">
        <v>581</v>
      </c>
    </row>
    <row r="66" customHeight="1" spans="1:22">
      <c r="A66" s="5" t="s">
        <v>1698</v>
      </c>
      <c r="B66" s="4">
        <v>21662699.21</v>
      </c>
      <c r="C66" s="4">
        <v>21068369.24</v>
      </c>
      <c r="D66" s="4">
        <v>0.3</v>
      </c>
      <c r="F66" s="4">
        <f t="shared" si="1"/>
        <v>0.96127478691714</v>
      </c>
      <c r="G66" s="4">
        <f t="shared" si="2"/>
        <v>3.87252130828597</v>
      </c>
      <c r="H66" s="4">
        <v>21075474.36</v>
      </c>
      <c r="I66" s="4">
        <f t="shared" ref="I66:I79" si="11">100-100*H66/B66</f>
        <v>2.71076491580017</v>
      </c>
      <c r="K66" s="4">
        <v>2.23</v>
      </c>
      <c r="L66" s="28">
        <v>45103.3958333333</v>
      </c>
      <c r="M66">
        <v>99</v>
      </c>
      <c r="S66" t="s">
        <v>1228</v>
      </c>
      <c r="T66" t="str">
        <f>_xlfn.DISPIMG("ID_78D091679EC1484B9B58638A575F8F94",1)</f>
        <v>=DISPIMG("ID_78D091679EC1484B9B58638A575F8F94",1)</v>
      </c>
      <c r="U66" s="13" t="s">
        <v>1116</v>
      </c>
      <c r="V66" s="5" t="s">
        <v>581</v>
      </c>
    </row>
    <row r="67" customHeight="1" spans="1:22">
      <c r="A67" s="5" t="s">
        <v>1699</v>
      </c>
      <c r="B67" s="4">
        <v>15754692.51</v>
      </c>
      <c r="C67" s="4">
        <v>15459444.66</v>
      </c>
      <c r="D67" s="4">
        <v>0.1</v>
      </c>
      <c r="F67" s="4">
        <f t="shared" ref="F67:F79" si="12">(H67/B67-D67)/(1-D67)</f>
        <v>0.979333333381714</v>
      </c>
      <c r="G67" s="4">
        <f t="shared" ref="G67:G79" si="13">100-100*F67</f>
        <v>2.06666666182859</v>
      </c>
      <c r="H67" s="4">
        <v>15461655.23</v>
      </c>
      <c r="I67" s="4">
        <f t="shared" si="11"/>
        <v>1.85999999564574</v>
      </c>
      <c r="K67" s="4">
        <v>1.8</v>
      </c>
      <c r="L67" s="28">
        <v>45104.4791666667</v>
      </c>
      <c r="M67">
        <v>126</v>
      </c>
      <c r="S67" t="s">
        <v>1230</v>
      </c>
      <c r="T67" t="str">
        <f t="shared" si="10"/>
        <v>=DISPIMG("ID_4B3DF2AEEE564887924D22897D259763",1)</v>
      </c>
      <c r="U67" s="13" t="s">
        <v>819</v>
      </c>
      <c r="V67" s="5" t="s">
        <v>581</v>
      </c>
    </row>
    <row r="68" customHeight="1" spans="1:22">
      <c r="A68" s="5" t="s">
        <v>1700</v>
      </c>
      <c r="B68" s="4">
        <v>15683564.74</v>
      </c>
      <c r="C68" s="4">
        <v>15468989.85</v>
      </c>
      <c r="D68" s="4">
        <v>0.3</v>
      </c>
      <c r="F68" s="4">
        <f t="shared" si="12"/>
        <v>0.980278274596974</v>
      </c>
      <c r="G68" s="4">
        <f t="shared" si="13"/>
        <v>1.97217254030258</v>
      </c>
      <c r="H68" s="4">
        <v>15467049.87</v>
      </c>
      <c r="I68" s="4">
        <f t="shared" si="11"/>
        <v>1.3805207782118</v>
      </c>
      <c r="K68" s="4">
        <v>1.88</v>
      </c>
      <c r="L68" s="28">
        <v>45104.5</v>
      </c>
      <c r="M68">
        <v>123</v>
      </c>
      <c r="S68" t="s">
        <v>1232</v>
      </c>
      <c r="T68" t="str">
        <f t="shared" si="10"/>
        <v>=DISPIMG("ID_4B3DF2AEEE564887924D22897D259763",1)</v>
      </c>
      <c r="U68" s="13" t="s">
        <v>819</v>
      </c>
      <c r="V68" s="5" t="s">
        <v>581</v>
      </c>
    </row>
    <row r="69" customHeight="1" spans="1:22">
      <c r="A69" s="5" t="s">
        <v>1701</v>
      </c>
      <c r="B69" s="4">
        <v>10976041.51</v>
      </c>
      <c r="C69" s="4">
        <v>10817327.95</v>
      </c>
      <c r="D69" s="4">
        <v>0.2</v>
      </c>
      <c r="F69" s="4">
        <f t="shared" si="12"/>
        <v>0.981500000495169</v>
      </c>
      <c r="G69" s="4">
        <f t="shared" si="13"/>
        <v>1.84999995048307</v>
      </c>
      <c r="H69" s="4">
        <v>10813596.1</v>
      </c>
      <c r="I69" s="4">
        <f t="shared" si="11"/>
        <v>1.47999996038645</v>
      </c>
      <c r="K69" s="4">
        <v>2.8</v>
      </c>
      <c r="L69" s="28">
        <v>45105.5</v>
      </c>
      <c r="M69">
        <v>72</v>
      </c>
      <c r="S69" t="s">
        <v>1243</v>
      </c>
      <c r="T69" t="str">
        <f t="shared" si="10"/>
        <v>=DISPIMG("ID_4B3DF2AEEE564887924D22897D259763",1)</v>
      </c>
      <c r="U69" s="13" t="s">
        <v>819</v>
      </c>
      <c r="V69" s="5" t="s">
        <v>581</v>
      </c>
    </row>
    <row r="70" customHeight="1" spans="1:22">
      <c r="A70" s="5" t="s">
        <v>1702</v>
      </c>
      <c r="B70" s="4">
        <v>6207831.47</v>
      </c>
      <c r="C70" s="4">
        <v>6136437.09</v>
      </c>
      <c r="D70" s="4">
        <v>0.1</v>
      </c>
      <c r="F70" s="4">
        <f t="shared" si="12"/>
        <v>0.987062569388842</v>
      </c>
      <c r="G70" s="4">
        <f t="shared" si="13"/>
        <v>1.29374306111582</v>
      </c>
      <c r="H70" s="4">
        <v>6135549.42</v>
      </c>
      <c r="I70" s="4">
        <f t="shared" si="11"/>
        <v>1.16436875500423</v>
      </c>
      <c r="K70" s="4">
        <v>6.8</v>
      </c>
      <c r="L70" s="28">
        <v>45105.5208333333</v>
      </c>
      <c r="M70">
        <v>599</v>
      </c>
      <c r="S70" t="s">
        <v>1245</v>
      </c>
      <c r="T70" t="str">
        <f t="shared" si="10"/>
        <v>=DISPIMG("ID_4B3DF2AEEE564887924D22897D259763",1)</v>
      </c>
      <c r="U70" s="13" t="s">
        <v>819</v>
      </c>
      <c r="V70" s="5" t="s">
        <v>581</v>
      </c>
    </row>
    <row r="71" customHeight="1" spans="1:23">
      <c r="A71" s="5" t="s">
        <v>1703</v>
      </c>
      <c r="B71" s="4">
        <v>2355820</v>
      </c>
      <c r="C71" s="4">
        <v>2314303</v>
      </c>
      <c r="D71" s="4">
        <v>0.4</v>
      </c>
      <c r="F71" s="4">
        <f t="shared" si="12"/>
        <v>0.949769789995274</v>
      </c>
      <c r="G71" s="4">
        <f t="shared" si="13"/>
        <v>5.02302100047258</v>
      </c>
      <c r="H71" s="4">
        <v>2284820</v>
      </c>
      <c r="I71" s="4">
        <f t="shared" si="11"/>
        <v>3.01381260028356</v>
      </c>
      <c r="K71" s="4">
        <v>7.52</v>
      </c>
      <c r="L71" s="28">
        <v>45112.4583333333</v>
      </c>
      <c r="M71">
        <v>3</v>
      </c>
      <c r="S71" t="s">
        <v>1256</v>
      </c>
      <c r="T71" t="str">
        <f>_xlfn.DISPIMG("ID_33FBDAE6BE0B44BD91F51F49110207B3",1)</f>
        <v>=DISPIMG("ID_33FBDAE6BE0B44BD91F51F49110207B3",1)</v>
      </c>
      <c r="U71" s="13" t="s">
        <v>1257</v>
      </c>
      <c r="V71" s="5" t="s">
        <v>581</v>
      </c>
      <c r="W71" s="5" t="s">
        <v>1258</v>
      </c>
    </row>
    <row r="72" customHeight="1" spans="1:22">
      <c r="A72" s="18" t="s">
        <v>1704</v>
      </c>
      <c r="B72" s="4">
        <v>22480476.94</v>
      </c>
      <c r="C72" s="4">
        <v>22094037.54</v>
      </c>
      <c r="D72" s="4">
        <v>0.4</v>
      </c>
      <c r="F72" s="4">
        <f t="shared" si="12"/>
        <v>0.957833333079928</v>
      </c>
      <c r="G72" s="4">
        <f t="shared" si="13"/>
        <v>4.21666669200718</v>
      </c>
      <c r="H72" s="4">
        <v>21911720.87</v>
      </c>
      <c r="I72" s="4">
        <f t="shared" si="11"/>
        <v>2.53000001520431</v>
      </c>
      <c r="K72" s="4">
        <v>1.5</v>
      </c>
      <c r="L72" s="28">
        <v>45113.4583333333</v>
      </c>
      <c r="M72">
        <v>5</v>
      </c>
      <c r="S72" t="s">
        <v>1263</v>
      </c>
      <c r="T72" t="str">
        <f>_xlfn.DISPIMG("ID_506DF0493A674FEBAC140F76A6276F0F",1)</f>
        <v>=DISPIMG("ID_506DF0493A674FEBAC140F76A6276F0F",1)</v>
      </c>
      <c r="U72" s="13" t="s">
        <v>1264</v>
      </c>
      <c r="V72" s="5" t="s">
        <v>581</v>
      </c>
    </row>
    <row r="73" customHeight="1" spans="1:22">
      <c r="A73" s="19" t="s">
        <v>1705</v>
      </c>
      <c r="B73" s="4">
        <v>9044595.74</v>
      </c>
      <c r="C73" s="4">
        <v>8467127.29</v>
      </c>
      <c r="D73" s="4">
        <v>0.3</v>
      </c>
      <c r="F73" s="4">
        <f t="shared" si="12"/>
        <v>0.976565456597337</v>
      </c>
      <c r="G73" s="4">
        <f t="shared" si="13"/>
        <v>2.34345434026628</v>
      </c>
      <c r="H73" s="4">
        <v>8896226.56</v>
      </c>
      <c r="I73" s="4">
        <f t="shared" si="11"/>
        <v>1.64041803818641</v>
      </c>
      <c r="K73" s="4">
        <v>1.8</v>
      </c>
      <c r="L73" s="28">
        <v>45125.375</v>
      </c>
      <c r="M73">
        <v>1072</v>
      </c>
      <c r="S73" t="s">
        <v>1276</v>
      </c>
      <c r="T73" t="str">
        <f t="shared" ref="T73:T77" si="14">_xlfn.DISPIMG("ID_7CFD3D00FB5F4930830C4CD282BB90A8",1)</f>
        <v>=DISPIMG("ID_7CFD3D00FB5F4930830C4CD282BB90A8",1)</v>
      </c>
      <c r="U73" s="13" t="s">
        <v>1084</v>
      </c>
      <c r="V73" s="5" t="s">
        <v>581</v>
      </c>
    </row>
    <row r="74" customHeight="1" spans="1:22">
      <c r="A74" s="19" t="s">
        <v>1706</v>
      </c>
      <c r="B74" s="4">
        <v>8965061.75</v>
      </c>
      <c r="C74" s="4">
        <v>8350366.23</v>
      </c>
      <c r="D74" s="4">
        <v>0.1</v>
      </c>
      <c r="F74" s="4">
        <f t="shared" si="12"/>
        <v>0.976955439140047</v>
      </c>
      <c r="G74" s="4">
        <f t="shared" si="13"/>
        <v>2.3044560859953</v>
      </c>
      <c r="H74" s="4">
        <v>8779125.43</v>
      </c>
      <c r="I74" s="4">
        <f t="shared" si="11"/>
        <v>2.07401047739576</v>
      </c>
      <c r="K74" s="4">
        <v>1.6</v>
      </c>
      <c r="L74" s="28">
        <v>45125.375</v>
      </c>
      <c r="M74">
        <v>1084</v>
      </c>
      <c r="S74" t="s">
        <v>1268</v>
      </c>
      <c r="T74" t="str">
        <f t="shared" si="14"/>
        <v>=DISPIMG("ID_7CFD3D00FB5F4930830C4CD282BB90A8",1)</v>
      </c>
      <c r="U74" s="13" t="s">
        <v>1084</v>
      </c>
      <c r="V74" s="5" t="s">
        <v>581</v>
      </c>
    </row>
    <row r="75" customHeight="1" spans="1:22">
      <c r="A75" s="19" t="s">
        <v>1707</v>
      </c>
      <c r="B75" s="4">
        <v>9396338.73</v>
      </c>
      <c r="C75" s="4">
        <v>8752275.36</v>
      </c>
      <c r="D75" s="4">
        <v>0.1</v>
      </c>
      <c r="F75" s="4">
        <f t="shared" si="12"/>
        <v>0.976908067231605</v>
      </c>
      <c r="G75" s="4">
        <f t="shared" si="13"/>
        <v>2.30919327683947</v>
      </c>
      <c r="H75" s="4">
        <v>9201057.07</v>
      </c>
      <c r="I75" s="4">
        <f t="shared" si="11"/>
        <v>2.07827394915552</v>
      </c>
      <c r="K75" s="4">
        <v>1.86</v>
      </c>
      <c r="L75" s="28">
        <v>45125.375</v>
      </c>
      <c r="M75">
        <v>1079</v>
      </c>
      <c r="S75" t="s">
        <v>1272</v>
      </c>
      <c r="T75" t="str">
        <f t="shared" si="14"/>
        <v>=DISPIMG("ID_7CFD3D00FB5F4930830C4CD282BB90A8",1)</v>
      </c>
      <c r="U75" s="13" t="s">
        <v>1084</v>
      </c>
      <c r="V75" s="5" t="s">
        <v>581</v>
      </c>
    </row>
    <row r="76" customHeight="1" spans="1:22">
      <c r="A76" s="19" t="s">
        <v>1708</v>
      </c>
      <c r="B76" s="4">
        <v>9271586.29</v>
      </c>
      <c r="C76" s="4">
        <v>8622588.25</v>
      </c>
      <c r="D76" s="4">
        <v>0.1</v>
      </c>
      <c r="F76" s="4">
        <f t="shared" si="12"/>
        <v>0.974811704464485</v>
      </c>
      <c r="G76" s="4">
        <f t="shared" si="13"/>
        <v>2.51882955355155</v>
      </c>
      <c r="H76" s="4">
        <v>9061404.38</v>
      </c>
      <c r="I76" s="4">
        <f t="shared" si="11"/>
        <v>2.26694659819638</v>
      </c>
      <c r="K76" s="4">
        <v>1.67</v>
      </c>
      <c r="L76" s="28">
        <v>45125.375</v>
      </c>
      <c r="M76">
        <v>1080</v>
      </c>
      <c r="S76" t="s">
        <v>1270</v>
      </c>
      <c r="T76" t="str">
        <f t="shared" si="14"/>
        <v>=DISPIMG("ID_7CFD3D00FB5F4930830C4CD282BB90A8",1)</v>
      </c>
      <c r="U76" s="13" t="s">
        <v>1084</v>
      </c>
      <c r="V76" s="5" t="s">
        <v>581</v>
      </c>
    </row>
    <row r="77" customHeight="1" spans="1:22">
      <c r="A77" s="19" t="s">
        <v>1709</v>
      </c>
      <c r="B77" s="4">
        <v>7248374.31</v>
      </c>
      <c r="C77" s="4">
        <v>6734771.46</v>
      </c>
      <c r="D77" s="4">
        <v>0.1</v>
      </c>
      <c r="F77" s="4">
        <f t="shared" si="12"/>
        <v>0.974795277002373</v>
      </c>
      <c r="G77" s="4">
        <f t="shared" si="13"/>
        <v>2.52047229976272</v>
      </c>
      <c r="H77" s="4">
        <v>7083950.37</v>
      </c>
      <c r="I77" s="4">
        <f t="shared" si="11"/>
        <v>2.26842506978643</v>
      </c>
      <c r="K77" s="4">
        <v>2</v>
      </c>
      <c r="L77" s="28">
        <v>45125.375</v>
      </c>
      <c r="M77">
        <v>1075</v>
      </c>
      <c r="S77" t="s">
        <v>1274</v>
      </c>
      <c r="T77" t="str">
        <f t="shared" si="14"/>
        <v>=DISPIMG("ID_7CFD3D00FB5F4930830C4CD282BB90A8",1)</v>
      </c>
      <c r="U77" s="13" t="s">
        <v>1084</v>
      </c>
      <c r="V77" s="5" t="s">
        <v>581</v>
      </c>
    </row>
    <row r="78" customHeight="1" spans="1:22">
      <c r="A78" s="20" t="s">
        <v>1710</v>
      </c>
      <c r="B78" s="4">
        <v>4790267.67</v>
      </c>
      <c r="C78" s="4">
        <v>4724885.36</v>
      </c>
      <c r="D78" s="4">
        <v>0.1</v>
      </c>
      <c r="F78" s="4">
        <f t="shared" si="12"/>
        <v>0.984685256174375</v>
      </c>
      <c r="G78" s="4">
        <f t="shared" si="13"/>
        <v>1.53147438256246</v>
      </c>
      <c r="H78" s="4">
        <v>4724242.12</v>
      </c>
      <c r="I78" s="4">
        <f t="shared" si="11"/>
        <v>1.37832694430622</v>
      </c>
      <c r="K78" s="4">
        <v>3.6</v>
      </c>
      <c r="L78" s="28">
        <v>45127.4583333333</v>
      </c>
      <c r="M78">
        <v>683</v>
      </c>
      <c r="S78" t="s">
        <v>1278</v>
      </c>
      <c r="T78" t="str">
        <f>_xlfn.DISPIMG("ID_4D38827BD4E4438785BD8FD3EDAAB318",1)</f>
        <v>=DISPIMG("ID_4D38827BD4E4438785BD8FD3EDAAB318",1)</v>
      </c>
      <c r="U78" s="13" t="s">
        <v>819</v>
      </c>
      <c r="V78" s="5" t="s">
        <v>581</v>
      </c>
    </row>
    <row r="79" customHeight="1" spans="1:23">
      <c r="A79" s="20" t="s">
        <v>1711</v>
      </c>
      <c r="B79" s="4">
        <v>5012042.1</v>
      </c>
      <c r="C79" s="4">
        <v>4957573.38</v>
      </c>
      <c r="D79" s="4">
        <v>0.1</v>
      </c>
      <c r="F79" s="4">
        <f t="shared" si="12"/>
        <v>0.987768103987439</v>
      </c>
      <c r="G79" s="4">
        <f t="shared" si="13"/>
        <v>1.2231896012561</v>
      </c>
      <c r="H79" s="4">
        <v>4956866</v>
      </c>
      <c r="I79" s="4">
        <f t="shared" si="11"/>
        <v>1.10087064113048</v>
      </c>
      <c r="K79" s="4">
        <v>1.4</v>
      </c>
      <c r="L79" s="28">
        <v>45127.4791666667</v>
      </c>
      <c r="M79">
        <v>683</v>
      </c>
      <c r="S79" t="s">
        <v>1280</v>
      </c>
      <c r="T79" t="str">
        <f>_xlfn.DISPIMG("ID_4D38827BD4E4438785BD8FD3EDAAB318",1)</f>
        <v>=DISPIMG("ID_4D38827BD4E4438785BD8FD3EDAAB318",1)</v>
      </c>
      <c r="U79" s="13" t="s">
        <v>819</v>
      </c>
      <c r="V79" s="5" t="s">
        <v>581</v>
      </c>
      <c r="W79" s="20" t="s">
        <v>1281</v>
      </c>
    </row>
  </sheetData>
  <autoFilter ref="A1:X79">
    <extLst/>
  </autoFilter>
  <conditionalFormatting sqref="J1 L1:X1">
    <cfRule type="duplicateValues" dxfId="0" priority="1"/>
  </conditionalFormatting>
  <hyperlinks>
    <hyperlink ref="S5" r:id="rId1" display="https://ggj.chizhou.gov.cn/front/bidcontent/9005001004/6ba6d9d3b3c94015b99b151db6648f49"/>
    <hyperlink ref="S4" r:id="rId2" display="https://ggj.chizhou.gov.cn/front/bidcontent/9005001004/f978278fe8ba435abaf65564c0756ff2"/>
    <hyperlink ref="S24" r:id="rId3" display="https://ggj.chizhou.gov.cn/front/bidcontent/9005001004/543d3d209dc6486694802dc0b3a8b5ec"/>
  </hyperlinks>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8"/>
  <sheetViews>
    <sheetView workbookViewId="0">
      <selection activeCell="A2" sqref="A2:A8"/>
    </sheetView>
  </sheetViews>
  <sheetFormatPr defaultColWidth="9" defaultRowHeight="32" customHeight="1" outlineLevelRow="7"/>
  <cols>
    <col min="1" max="1" width="27.875" customWidth="1"/>
    <col min="2" max="3" width="16.875" customWidth="1"/>
    <col min="4" max="5" width="4.125" customWidth="1"/>
    <col min="6" max="6" width="16.5" customWidth="1"/>
    <col min="7" max="7" width="24.5" customWidth="1"/>
    <col min="8" max="8" width="11.25" customWidth="1"/>
    <col min="9" max="9" width="8.75" customWidth="1"/>
    <col min="10" max="10" width="16.5" customWidth="1"/>
    <col min="11" max="11" width="11.25" customWidth="1"/>
    <col min="12" max="12" width="16" style="14" customWidth="1"/>
    <col min="13" max="13" width="11.25" customWidth="1"/>
    <col min="14" max="14" width="7.875" customWidth="1"/>
    <col min="15" max="17" width="4.125" customWidth="1"/>
    <col min="18" max="18" width="2.875" customWidth="1"/>
    <col min="19" max="19" width="10.75" customWidth="1"/>
    <col min="20" max="20" width="16.5" customWidth="1"/>
    <col min="21" max="21" width="24.375" customWidth="1"/>
    <col min="22" max="22" width="17.375" customWidth="1"/>
    <col min="23" max="23" width="11.25" customWidth="1"/>
    <col min="24" max="24" width="6.375" customWidth="1"/>
  </cols>
  <sheetData>
    <row r="1" s="13" customFormat="1" customHeight="1" spans="1:24">
      <c r="A1" s="15" t="s">
        <v>0</v>
      </c>
      <c r="B1" s="4" t="s">
        <v>1</v>
      </c>
      <c r="C1" s="4" t="s">
        <v>2</v>
      </c>
      <c r="D1" s="4" t="s">
        <v>3</v>
      </c>
      <c r="E1" s="16" t="s">
        <v>4</v>
      </c>
      <c r="F1" s="4" t="s">
        <v>5</v>
      </c>
      <c r="G1" s="4" t="s">
        <v>6</v>
      </c>
      <c r="H1" s="4" t="s">
        <v>7</v>
      </c>
      <c r="I1" s="4" t="s">
        <v>8</v>
      </c>
      <c r="J1" s="9" t="s">
        <v>9</v>
      </c>
      <c r="K1" s="4" t="s">
        <v>10</v>
      </c>
      <c r="L1" s="27" t="s">
        <v>11</v>
      </c>
      <c r="M1" s="9" t="s">
        <v>12</v>
      </c>
      <c r="N1" s="9" t="s">
        <v>13</v>
      </c>
      <c r="O1" s="9" t="s">
        <v>14</v>
      </c>
      <c r="P1" s="9" t="s">
        <v>15</v>
      </c>
      <c r="Q1" s="9" t="s">
        <v>16</v>
      </c>
      <c r="R1" s="9" t="s">
        <v>17</v>
      </c>
      <c r="S1" s="9" t="s">
        <v>18</v>
      </c>
      <c r="T1" s="9" t="s">
        <v>19</v>
      </c>
      <c r="U1" s="11"/>
      <c r="V1" s="9" t="s">
        <v>21</v>
      </c>
      <c r="W1" s="9" t="s">
        <v>22</v>
      </c>
      <c r="X1" s="9" t="s">
        <v>23</v>
      </c>
    </row>
    <row r="2" customHeight="1" spans="1:23">
      <c r="A2" s="5" t="s">
        <v>1712</v>
      </c>
      <c r="B2" s="17">
        <v>31616388.1</v>
      </c>
      <c r="C2" s="18">
        <v>29086493.78</v>
      </c>
      <c r="D2">
        <v>0.1</v>
      </c>
      <c r="H2" s="18">
        <v>28824661.02</v>
      </c>
      <c r="I2">
        <f t="shared" ref="I2:I8" si="0">100-100*H2/B2</f>
        <v>8.83000003406461</v>
      </c>
      <c r="K2">
        <v>6.6</v>
      </c>
      <c r="L2" s="28">
        <v>44763.3958333333</v>
      </c>
      <c r="M2">
        <v>37</v>
      </c>
      <c r="S2" t="s">
        <v>762</v>
      </c>
      <c r="T2" t="str">
        <f>_xlfn.DISPIMG("ID_C873D48870844938AC932FB38EF1BB68",1)</f>
        <v>=DISPIMG("ID_C873D48870844938AC932FB38EF1BB68",1)</v>
      </c>
      <c r="U2" s="13" t="s">
        <v>763</v>
      </c>
      <c r="V2" s="29" t="s">
        <v>764</v>
      </c>
      <c r="W2" s="5" t="s">
        <v>765</v>
      </c>
    </row>
    <row r="3" customHeight="1" spans="1:22">
      <c r="A3" s="19" t="s">
        <v>1713</v>
      </c>
      <c r="B3" s="19">
        <v>802507.66</v>
      </c>
      <c r="C3" s="20">
        <v>757435.722</v>
      </c>
      <c r="D3">
        <v>98.4</v>
      </c>
      <c r="H3" s="21">
        <v>785757</v>
      </c>
      <c r="I3">
        <f t="shared" si="0"/>
        <v>2.08728973378273</v>
      </c>
      <c r="K3">
        <v>3.2</v>
      </c>
      <c r="L3" s="28">
        <v>44866.3958333333</v>
      </c>
      <c r="M3">
        <v>4</v>
      </c>
      <c r="S3" t="s">
        <v>907</v>
      </c>
      <c r="T3" s="13" t="str">
        <f>_xlfn.DISPIMG("ID_87ED0F4657E5454A80DCDDB38A3AE5EE",1)</f>
        <v>=DISPIMG("ID_87ED0F4657E5454A80DCDDB38A3AE5EE",1)</v>
      </c>
      <c r="U3" s="13" t="s">
        <v>908</v>
      </c>
      <c r="V3" s="19" t="s">
        <v>909</v>
      </c>
    </row>
    <row r="4" customHeight="1" spans="1:22">
      <c r="A4" s="5" t="s">
        <v>1714</v>
      </c>
      <c r="B4" s="22">
        <v>4914384.74</v>
      </c>
      <c r="D4">
        <v>0.2</v>
      </c>
      <c r="H4" s="23">
        <v>4575292.19</v>
      </c>
      <c r="I4">
        <f t="shared" si="0"/>
        <v>6.90000005982436</v>
      </c>
      <c r="K4">
        <v>7.2</v>
      </c>
      <c r="L4" s="28">
        <v>44897.4583333333</v>
      </c>
      <c r="M4">
        <v>5</v>
      </c>
      <c r="S4" t="s">
        <v>954</v>
      </c>
      <c r="T4" t="str">
        <f>_xlfn.DISPIMG("ID_2C36102094EB4083932A5E2537DBDB03",1)</f>
        <v>=DISPIMG("ID_2C36102094EB4083932A5E2537DBDB03",1)</v>
      </c>
      <c r="U4" s="13" t="s">
        <v>127</v>
      </c>
      <c r="V4" s="5" t="s">
        <v>955</v>
      </c>
    </row>
    <row r="5" customHeight="1" spans="1:22">
      <c r="A5" s="5" t="s">
        <v>1715</v>
      </c>
      <c r="B5" s="22">
        <v>4523735.61</v>
      </c>
      <c r="D5">
        <v>0.2</v>
      </c>
      <c r="H5" s="24">
        <v>4116599.4</v>
      </c>
      <c r="I5">
        <f t="shared" si="0"/>
        <v>9.00000011273869</v>
      </c>
      <c r="K5">
        <v>9.3</v>
      </c>
      <c r="L5" s="28">
        <v>44938.4583333333</v>
      </c>
      <c r="M5">
        <v>16</v>
      </c>
      <c r="S5" t="s">
        <v>988</v>
      </c>
      <c r="T5" t="str">
        <f>_xlfn.DISPIMG("ID_A398695467604F77ACD637C7998A50CF",1)</f>
        <v>=DISPIMG("ID_A398695467604F77ACD637C7998A50CF",1)</v>
      </c>
      <c r="U5" s="13" t="s">
        <v>989</v>
      </c>
      <c r="V5" s="5" t="s">
        <v>955</v>
      </c>
    </row>
    <row r="6" customHeight="1" spans="1:22">
      <c r="A6" s="5" t="s">
        <v>1716</v>
      </c>
      <c r="B6" s="22">
        <v>28061500</v>
      </c>
      <c r="D6">
        <v>0.5</v>
      </c>
      <c r="H6" s="24">
        <v>27153500</v>
      </c>
      <c r="I6">
        <f t="shared" si="0"/>
        <v>3.23575004899952</v>
      </c>
      <c r="K6">
        <v>4.2</v>
      </c>
      <c r="L6" s="28">
        <v>44988.4583333333</v>
      </c>
      <c r="M6">
        <v>11</v>
      </c>
      <c r="S6" t="s">
        <v>1037</v>
      </c>
      <c r="T6" t="str">
        <f>_xlfn.DISPIMG("ID_CE8A86EF0C0C4322ABF13441A2BBB1D7",1)</f>
        <v>=DISPIMG("ID_CE8A86EF0C0C4322ABF13441A2BBB1D7",1)</v>
      </c>
      <c r="U6" s="13" t="s">
        <v>836</v>
      </c>
      <c r="V6" s="29" t="s">
        <v>1038</v>
      </c>
    </row>
    <row r="7" customHeight="1" spans="1:22">
      <c r="A7" s="19" t="s">
        <v>1717</v>
      </c>
      <c r="B7" s="19">
        <v>12035582.68</v>
      </c>
      <c r="C7" s="20">
        <v>11722832.11</v>
      </c>
      <c r="D7">
        <v>0.3</v>
      </c>
      <c r="H7" s="25">
        <v>11718914.46</v>
      </c>
      <c r="I7">
        <f t="shared" si="0"/>
        <v>2.63110003411983</v>
      </c>
      <c r="K7">
        <v>7.6</v>
      </c>
      <c r="L7" s="28">
        <v>45065.3958333333</v>
      </c>
      <c r="M7">
        <v>118</v>
      </c>
      <c r="S7" t="s">
        <v>1173</v>
      </c>
      <c r="T7" t="str">
        <f>_xlfn.DISPIMG("ID_CE8A86EF0C0C4322ABF13441A2BBB1D7",1)</f>
        <v>=DISPIMG("ID_CE8A86EF0C0C4322ABF13441A2BBB1D7",1)</v>
      </c>
      <c r="U7" s="13" t="s">
        <v>836</v>
      </c>
      <c r="V7" s="5" t="s">
        <v>955</v>
      </c>
    </row>
    <row r="8" customHeight="1" spans="1:22">
      <c r="A8" s="20" t="s">
        <v>1718</v>
      </c>
      <c r="B8" s="26">
        <v>3371296.75</v>
      </c>
      <c r="C8" s="20">
        <v>3082227.6</v>
      </c>
      <c r="D8">
        <v>0.1</v>
      </c>
      <c r="H8" s="20">
        <v>3081702</v>
      </c>
      <c r="I8">
        <f t="shared" si="0"/>
        <v>8.59001065391233</v>
      </c>
      <c r="K8">
        <v>5.23</v>
      </c>
      <c r="L8" s="28">
        <v>45107.375</v>
      </c>
      <c r="M8">
        <v>30</v>
      </c>
      <c r="S8" t="s">
        <v>1253</v>
      </c>
      <c r="T8" t="str">
        <f>_xlfn.DISPIMG("ID_C873D48870844938AC932FB38EF1BB68",1)</f>
        <v>=DISPIMG("ID_C873D48870844938AC932FB38EF1BB68",1)</v>
      </c>
      <c r="U8" s="13" t="s">
        <v>763</v>
      </c>
      <c r="V8" s="20" t="s">
        <v>1254</v>
      </c>
    </row>
  </sheetData>
  <conditionalFormatting sqref="J1 L1:X1">
    <cfRule type="duplicateValues" dxfId="0" priority="1"/>
  </conditionalFormatting>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2"/>
  <sheetViews>
    <sheetView workbookViewId="0">
      <selection activeCell="O13" sqref="O13"/>
    </sheetView>
  </sheetViews>
  <sheetFormatPr defaultColWidth="9" defaultRowHeight="32" customHeight="1" outlineLevelRow="1"/>
  <cols>
    <col min="1" max="1" width="32.25" style="2" customWidth="1"/>
    <col min="2" max="2" width="14.125" style="2" customWidth="1"/>
    <col min="3" max="3" width="11.5" style="2"/>
    <col min="4" max="5" width="9" style="2"/>
    <col min="6" max="6" width="16.5" style="2" customWidth="1"/>
    <col min="7" max="7" width="24.5" style="2" customWidth="1"/>
    <col min="8" max="8" width="11.25" style="2" customWidth="1"/>
    <col min="9" max="9" width="8.75" style="2" customWidth="1"/>
    <col min="10" max="10" width="16.5" style="2" customWidth="1"/>
    <col min="11" max="11" width="11.25" style="2" customWidth="1"/>
    <col min="12" max="12" width="14.875" style="2" customWidth="1"/>
    <col min="13" max="13" width="11.25" style="2" customWidth="1"/>
    <col min="14" max="14" width="7.875" style="2" customWidth="1"/>
    <col min="15" max="17" width="4.125" style="2" customWidth="1"/>
    <col min="18" max="18" width="2.875" style="2" customWidth="1"/>
    <col min="19" max="19" width="5.375" style="2" customWidth="1"/>
    <col min="20" max="20" width="12" style="2" customWidth="1"/>
    <col min="21" max="16384" width="9" style="2"/>
  </cols>
  <sheetData>
    <row r="1" s="1" customFormat="1" customHeight="1" spans="1:24">
      <c r="A1" s="3" t="s">
        <v>0</v>
      </c>
      <c r="B1" s="4" t="s">
        <v>1</v>
      </c>
      <c r="C1" s="4" t="s">
        <v>2</v>
      </c>
      <c r="D1" s="4" t="s">
        <v>3</v>
      </c>
      <c r="E1" s="4" t="s">
        <v>4</v>
      </c>
      <c r="F1" s="4" t="s">
        <v>5</v>
      </c>
      <c r="G1" s="4" t="s">
        <v>6</v>
      </c>
      <c r="H1" s="4" t="s">
        <v>7</v>
      </c>
      <c r="I1" s="4" t="s">
        <v>8</v>
      </c>
      <c r="J1" s="4"/>
      <c r="K1" s="4" t="s">
        <v>10</v>
      </c>
      <c r="L1" s="7" t="s">
        <v>11</v>
      </c>
      <c r="M1" s="8" t="s">
        <v>12</v>
      </c>
      <c r="N1" s="9" t="s">
        <v>13</v>
      </c>
      <c r="O1" s="9" t="s">
        <v>14</v>
      </c>
      <c r="P1" s="9" t="s">
        <v>15</v>
      </c>
      <c r="Q1" s="9" t="s">
        <v>16</v>
      </c>
      <c r="R1" s="9" t="s">
        <v>17</v>
      </c>
      <c r="S1" s="9" t="s">
        <v>18</v>
      </c>
      <c r="T1" s="9" t="s">
        <v>19</v>
      </c>
      <c r="U1" s="11" t="s">
        <v>20</v>
      </c>
      <c r="V1" s="9" t="s">
        <v>21</v>
      </c>
      <c r="W1" s="9" t="s">
        <v>22</v>
      </c>
      <c r="X1" s="9" t="s">
        <v>23</v>
      </c>
    </row>
    <row r="2" customHeight="1" spans="1:23">
      <c r="A2" s="5" t="s">
        <v>1719</v>
      </c>
      <c r="B2" s="6">
        <v>18361714.36</v>
      </c>
      <c r="K2" s="2">
        <v>5.6</v>
      </c>
      <c r="L2" s="10">
        <v>45140.375</v>
      </c>
      <c r="U2" s="12" t="s">
        <v>119</v>
      </c>
      <c r="V2" s="5" t="s">
        <v>1720</v>
      </c>
      <c r="W2" s="5" t="s">
        <v>1721</v>
      </c>
    </row>
  </sheetData>
  <conditionalFormatting sqref="N1:X1">
    <cfRule type="duplicateValues" dxfId="0" priority="1"/>
  </conditionalFormatting>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7</vt:i4>
      </vt:variant>
    </vt:vector>
  </HeadingPairs>
  <TitlesOfParts>
    <vt:vector size="7" baseType="lpstr">
      <vt:lpstr>汇总</vt:lpstr>
      <vt:lpstr>房屋建筑</vt:lpstr>
      <vt:lpstr>市政</vt:lpstr>
      <vt:lpstr>公路</vt:lpstr>
      <vt:lpstr>水利</vt:lpstr>
      <vt:lpstr>能源和其它</vt:lpstr>
      <vt:lpstr>项目预测记录</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pc</dc:creator>
  <cp:lastModifiedBy>李源源</cp:lastModifiedBy>
  <dcterms:created xsi:type="dcterms:W3CDTF">2023-07-05T09:10:00Z</dcterms:created>
  <dcterms:modified xsi:type="dcterms:W3CDTF">2023-08-01T09:15:42Z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A1CE2689E4EB45B1B25221F23A7EE4B8_12</vt:lpwstr>
  </property>
  <property fmtid="{D5CDD505-2E9C-101B-9397-08002B2CF9AE}" pid="3" name="KSOProductBuildVer">
    <vt:lpwstr>2052-12.1.0.15120</vt:lpwstr>
  </property>
</Properties>
</file>